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이세연 백업\lee\01. 예산결산서\2024년 추경\"/>
    </mc:Choice>
  </mc:AlternateContent>
  <xr:revisionPtr revIDLastSave="0" documentId="13_ncr:1_{98F4C98F-19D6-4F3B-8136-DED1CF4AA3A5}" xr6:coauthVersionLast="47" xr6:coauthVersionMax="47" xr10:uidLastSave="{00000000-0000-0000-0000-000000000000}"/>
  <bookViews>
    <workbookView xWindow="-28920" yWindow="-120" windowWidth="29040" windowHeight="15840" activeTab="5" xr2:uid="{785BDA42-8CAA-4122-B37C-91DBB1613E74}"/>
  </bookViews>
  <sheets>
    <sheet name="2024년 표지" sheetId="2" r:id="rId1"/>
    <sheet name="세입세출총괄표" sheetId="8" r:id="rId2"/>
    <sheet name="세입세출요약표" sheetId="7" r:id="rId3"/>
    <sheet name="세입추경예산서(음영)" sheetId="12" state="hidden" r:id="rId4"/>
    <sheet name="세입추경예산서" sheetId="10" r:id="rId5"/>
    <sheet name="세출추경예산서" sheetId="11" r:id="rId6"/>
    <sheet name="직원보수일람표" sheetId="1" r:id="rId7"/>
    <sheet name="세입예산서 사통망작성용" sheetId="9" state="hidden" r:id="rId8"/>
  </sheets>
  <definedNames>
    <definedName name="_xlnm.Print_Area" localSheetId="0">'2024년 표지'!$A$1:$B$22</definedName>
    <definedName name="_xlnm.Print_Area" localSheetId="2">세입세출요약표!$A$1:$N$63</definedName>
    <definedName name="_xlnm.Print_Area" localSheetId="1">세입세출총괄표!$A$1:$L$23</definedName>
    <definedName name="_xlnm.Print_Area" localSheetId="7">'세입예산서 사통망작성용'!$A$1:$K$149</definedName>
    <definedName name="_xlnm.Print_Area" localSheetId="4">세입추경예산서!$A$1:$N$240</definedName>
    <definedName name="_xlnm.Print_Area" localSheetId="3">'세입추경예산서(음영)'!$A$1:$K$174</definedName>
    <definedName name="_xlnm.Print_Area" localSheetId="5">세출추경예산서!$A$1:$N$354</definedName>
    <definedName name="_xlnm.Print_Area" localSheetId="6">직원보수일람표!$A$1:$N$28</definedName>
    <definedName name="_xlnm.Print_Titles" localSheetId="7">'세입예산서 사통망작성용'!$1:$4</definedName>
    <definedName name="_xlnm.Print_Titles" localSheetId="4">세입추경예산서!$1:$4</definedName>
    <definedName name="_xlnm.Print_Titles" localSheetId="3">'세입추경예산서(음영)'!$1:$4</definedName>
    <definedName name="_xlnm.Print_Titles" localSheetId="5">세출추경예산서!$1:$4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2" i="11" l="1"/>
  <c r="I208" i="11"/>
  <c r="R7" i="11"/>
  <c r="U334" i="11"/>
  <c r="R158" i="10"/>
  <c r="R157" i="10"/>
  <c r="R156" i="10"/>
  <c r="R155" i="10"/>
  <c r="R154" i="10"/>
  <c r="Q158" i="10"/>
  <c r="Q157" i="10"/>
  <c r="Q156" i="10"/>
  <c r="Q155" i="10"/>
  <c r="Q154" i="10"/>
  <c r="N327" i="11" l="1"/>
  <c r="F327" i="11" s="1"/>
  <c r="G327" i="11" s="1"/>
  <c r="P327" i="11"/>
  <c r="Q327" i="11"/>
  <c r="R327" i="11"/>
  <c r="S327" i="11"/>
  <c r="T327" i="11"/>
  <c r="U327" i="11"/>
  <c r="V327" i="11"/>
  <c r="O4" i="11"/>
  <c r="I165" i="11"/>
  <c r="I156" i="10"/>
  <c r="P159" i="10"/>
  <c r="G196" i="10" l="1"/>
  <c r="Q194" i="11"/>
  <c r="R194" i="11"/>
  <c r="S194" i="11"/>
  <c r="T194" i="11"/>
  <c r="U194" i="11"/>
  <c r="V194" i="11"/>
  <c r="N194" i="11"/>
  <c r="P194" i="11" s="1"/>
  <c r="V186" i="11"/>
  <c r="U186" i="11"/>
  <c r="T186" i="11"/>
  <c r="S186" i="11"/>
  <c r="R186" i="11"/>
  <c r="Q186" i="11"/>
  <c r="P186" i="11"/>
  <c r="N186" i="11"/>
  <c r="N340" i="11"/>
  <c r="V258" i="11"/>
  <c r="U258" i="11"/>
  <c r="T258" i="11"/>
  <c r="S258" i="11"/>
  <c r="R258" i="11"/>
  <c r="P258" i="11"/>
  <c r="V257" i="11"/>
  <c r="U257" i="11"/>
  <c r="T257" i="11"/>
  <c r="S257" i="11"/>
  <c r="Q257" i="11"/>
  <c r="P257" i="11"/>
  <c r="V262" i="11"/>
  <c r="U262" i="11"/>
  <c r="T262" i="11"/>
  <c r="S262" i="11"/>
  <c r="R262" i="11"/>
  <c r="P262" i="11"/>
  <c r="V261" i="11"/>
  <c r="U261" i="11"/>
  <c r="T261" i="11"/>
  <c r="S261" i="11"/>
  <c r="Q261" i="11"/>
  <c r="P261" i="11"/>
  <c r="V260" i="11"/>
  <c r="U260" i="11"/>
  <c r="T260" i="11"/>
  <c r="S260" i="11"/>
  <c r="R260" i="11"/>
  <c r="Q260" i="11"/>
  <c r="P260" i="11"/>
  <c r="V247" i="11"/>
  <c r="U247" i="11"/>
  <c r="T247" i="11"/>
  <c r="S247" i="11"/>
  <c r="Q247" i="11"/>
  <c r="P247" i="11"/>
  <c r="V246" i="11"/>
  <c r="U246" i="11"/>
  <c r="T246" i="11"/>
  <c r="S246" i="11"/>
  <c r="R246" i="11"/>
  <c r="Q246" i="11"/>
  <c r="V245" i="11"/>
  <c r="U245" i="11"/>
  <c r="T245" i="11"/>
  <c r="S245" i="11"/>
  <c r="R245" i="11"/>
  <c r="Q245" i="11"/>
  <c r="V244" i="11"/>
  <c r="U244" i="11"/>
  <c r="S244" i="11"/>
  <c r="R244" i="11"/>
  <c r="Q244" i="11"/>
  <c r="P244" i="11"/>
  <c r="V243" i="11"/>
  <c r="U243" i="11"/>
  <c r="T243" i="11"/>
  <c r="S243" i="11"/>
  <c r="R243" i="11"/>
  <c r="P243" i="11"/>
  <c r="V242" i="11"/>
  <c r="U242" i="11"/>
  <c r="T242" i="11"/>
  <c r="S242" i="11"/>
  <c r="Q242" i="11"/>
  <c r="P242" i="11"/>
  <c r="V241" i="11"/>
  <c r="U241" i="11"/>
  <c r="T241" i="11"/>
  <c r="S241" i="11"/>
  <c r="R241" i="11"/>
  <c r="Q241" i="11"/>
  <c r="V239" i="11"/>
  <c r="U239" i="11"/>
  <c r="T239" i="11"/>
  <c r="S239" i="11"/>
  <c r="R239" i="11"/>
  <c r="P239" i="11"/>
  <c r="V238" i="11"/>
  <c r="U238" i="11"/>
  <c r="T238" i="11"/>
  <c r="S238" i="11"/>
  <c r="R238" i="11"/>
  <c r="Q238" i="11"/>
  <c r="V237" i="11"/>
  <c r="U237" i="11"/>
  <c r="T237" i="11"/>
  <c r="S237" i="11"/>
  <c r="Q237" i="11"/>
  <c r="P237" i="11"/>
  <c r="V236" i="11"/>
  <c r="U236" i="11"/>
  <c r="T236" i="11"/>
  <c r="S236" i="11"/>
  <c r="R236" i="11"/>
  <c r="Q236" i="11"/>
  <c r="P236" i="11"/>
  <c r="V235" i="11"/>
  <c r="U235" i="11"/>
  <c r="T235" i="11"/>
  <c r="S235" i="11"/>
  <c r="R235" i="11"/>
  <c r="Q235" i="11"/>
  <c r="V234" i="11"/>
  <c r="U234" i="11"/>
  <c r="T234" i="11"/>
  <c r="S234" i="11"/>
  <c r="R234" i="11"/>
  <c r="Q234" i="11"/>
  <c r="V233" i="11"/>
  <c r="U233" i="11"/>
  <c r="T233" i="11"/>
  <c r="S233" i="11"/>
  <c r="R233" i="11"/>
  <c r="Q233" i="11"/>
  <c r="V232" i="11"/>
  <c r="U232" i="11"/>
  <c r="T232" i="11"/>
  <c r="S232" i="11"/>
  <c r="R232" i="11"/>
  <c r="Q232" i="11"/>
  <c r="V231" i="11"/>
  <c r="U231" i="11"/>
  <c r="T231" i="11"/>
  <c r="S231" i="11"/>
  <c r="R231" i="11"/>
  <c r="Q231" i="11"/>
  <c r="V230" i="11"/>
  <c r="U230" i="11"/>
  <c r="T230" i="11"/>
  <c r="S230" i="11"/>
  <c r="R230" i="11"/>
  <c r="Q230" i="11"/>
  <c r="V229" i="11"/>
  <c r="U229" i="11"/>
  <c r="T229" i="11"/>
  <c r="S229" i="11"/>
  <c r="R229" i="11"/>
  <c r="Q229" i="11"/>
  <c r="V218" i="11"/>
  <c r="U218" i="11"/>
  <c r="T218" i="11"/>
  <c r="S218" i="11"/>
  <c r="R218" i="11"/>
  <c r="Q218" i="11"/>
  <c r="V217" i="11"/>
  <c r="U217" i="11"/>
  <c r="T217" i="11"/>
  <c r="S217" i="11"/>
  <c r="R217" i="11"/>
  <c r="Q217" i="11"/>
  <c r="V216" i="11"/>
  <c r="U216" i="11"/>
  <c r="T216" i="11"/>
  <c r="S216" i="11"/>
  <c r="R216" i="11"/>
  <c r="Q216" i="11"/>
  <c r="V215" i="11"/>
  <c r="U215" i="11"/>
  <c r="T215" i="11"/>
  <c r="S215" i="11"/>
  <c r="R215" i="11"/>
  <c r="Q215" i="11"/>
  <c r="V214" i="11"/>
  <c r="U214" i="11"/>
  <c r="T214" i="11"/>
  <c r="R214" i="11"/>
  <c r="Q214" i="11"/>
  <c r="P214" i="11"/>
  <c r="V213" i="11"/>
  <c r="U213" i="11"/>
  <c r="S213" i="11"/>
  <c r="R213" i="11"/>
  <c r="Q213" i="11"/>
  <c r="P213" i="11"/>
  <c r="V212" i="11"/>
  <c r="U212" i="11"/>
  <c r="T212" i="11"/>
  <c r="S212" i="11"/>
  <c r="R212" i="11"/>
  <c r="P212" i="11"/>
  <c r="V211" i="11"/>
  <c r="U211" i="11"/>
  <c r="T211" i="11"/>
  <c r="S211" i="11"/>
  <c r="Q211" i="11"/>
  <c r="P211" i="11"/>
  <c r="V210" i="11"/>
  <c r="U210" i="11"/>
  <c r="T210" i="11"/>
  <c r="S210" i="11"/>
  <c r="R210" i="11"/>
  <c r="Q210" i="11"/>
  <c r="V209" i="11"/>
  <c r="U209" i="11"/>
  <c r="T209" i="11"/>
  <c r="R209" i="11"/>
  <c r="Q209" i="11"/>
  <c r="P209" i="11"/>
  <c r="V208" i="11"/>
  <c r="U208" i="11"/>
  <c r="S208" i="11"/>
  <c r="R208" i="11"/>
  <c r="Q208" i="11"/>
  <c r="P208" i="11"/>
  <c r="V207" i="11"/>
  <c r="U207" i="11"/>
  <c r="T207" i="11"/>
  <c r="S207" i="11"/>
  <c r="R207" i="11"/>
  <c r="P207" i="11"/>
  <c r="V206" i="11"/>
  <c r="U206" i="11"/>
  <c r="T206" i="11"/>
  <c r="S206" i="11"/>
  <c r="Q206" i="11"/>
  <c r="P206" i="11"/>
  <c r="V205" i="11"/>
  <c r="U205" i="11"/>
  <c r="T205" i="11"/>
  <c r="S205" i="11"/>
  <c r="R205" i="11"/>
  <c r="Q205" i="11"/>
  <c r="V204" i="11"/>
  <c r="U204" i="11"/>
  <c r="T204" i="11"/>
  <c r="S204" i="11"/>
  <c r="R204" i="11"/>
  <c r="P204" i="11"/>
  <c r="V203" i="11"/>
  <c r="U203" i="11"/>
  <c r="T203" i="11"/>
  <c r="S203" i="11"/>
  <c r="Q203" i="11"/>
  <c r="P203" i="11"/>
  <c r="V202" i="11"/>
  <c r="U202" i="11"/>
  <c r="S202" i="11"/>
  <c r="R202" i="11"/>
  <c r="Q202" i="11"/>
  <c r="P202" i="11"/>
  <c r="V201" i="11"/>
  <c r="U201" i="11"/>
  <c r="T201" i="11"/>
  <c r="R201" i="11"/>
  <c r="Q201" i="11"/>
  <c r="P201" i="11"/>
  <c r="V200" i="11"/>
  <c r="U200" i="11"/>
  <c r="T200" i="11"/>
  <c r="S200" i="11"/>
  <c r="R200" i="11"/>
  <c r="Q200" i="11"/>
  <c r="V199" i="11"/>
  <c r="U199" i="11"/>
  <c r="T199" i="11"/>
  <c r="S199" i="11"/>
  <c r="R199" i="11"/>
  <c r="Q199" i="11"/>
  <c r="V198" i="11"/>
  <c r="U198" i="11"/>
  <c r="T198" i="11"/>
  <c r="S198" i="11"/>
  <c r="R198" i="11"/>
  <c r="Q198" i="11"/>
  <c r="V196" i="11"/>
  <c r="U196" i="11"/>
  <c r="T196" i="11"/>
  <c r="S196" i="11"/>
  <c r="Q196" i="11"/>
  <c r="P196" i="11"/>
  <c r="V195" i="11"/>
  <c r="U195" i="11"/>
  <c r="S195" i="11"/>
  <c r="R195" i="11"/>
  <c r="Q195" i="11"/>
  <c r="P195" i="11"/>
  <c r="V193" i="11"/>
  <c r="U193" i="11"/>
  <c r="T193" i="11"/>
  <c r="S193" i="11"/>
  <c r="Q193" i="11"/>
  <c r="P193" i="11"/>
  <c r="V192" i="11"/>
  <c r="U192" i="11"/>
  <c r="T192" i="11"/>
  <c r="S192" i="11"/>
  <c r="Q192" i="11"/>
  <c r="P192" i="11"/>
  <c r="V191" i="11"/>
  <c r="U191" i="11"/>
  <c r="S191" i="11"/>
  <c r="R191" i="11"/>
  <c r="Q191" i="11"/>
  <c r="P191" i="11"/>
  <c r="V190" i="11"/>
  <c r="U190" i="11"/>
  <c r="T190" i="11"/>
  <c r="S190" i="11"/>
  <c r="R190" i="11"/>
  <c r="P190" i="11"/>
  <c r="V189" i="11"/>
  <c r="U189" i="11"/>
  <c r="T189" i="11"/>
  <c r="S189" i="11"/>
  <c r="R189" i="11"/>
  <c r="Q189" i="11"/>
  <c r="V188" i="11"/>
  <c r="U188" i="11"/>
  <c r="T188" i="11"/>
  <c r="S188" i="11"/>
  <c r="R188" i="11"/>
  <c r="Q188" i="11"/>
  <c r="V187" i="11"/>
  <c r="U187" i="11"/>
  <c r="T187" i="11"/>
  <c r="S187" i="11"/>
  <c r="R187" i="11"/>
  <c r="Q187" i="11"/>
  <c r="V185" i="11"/>
  <c r="U185" i="11"/>
  <c r="T185" i="11"/>
  <c r="S185" i="11"/>
  <c r="R185" i="11"/>
  <c r="Q185" i="11"/>
  <c r="V184" i="11"/>
  <c r="U184" i="11"/>
  <c r="T184" i="11"/>
  <c r="S184" i="11"/>
  <c r="R184" i="11"/>
  <c r="Q184" i="11"/>
  <c r="V183" i="11"/>
  <c r="U183" i="11"/>
  <c r="T183" i="11"/>
  <c r="S183" i="11"/>
  <c r="R183" i="11"/>
  <c r="Q183" i="11"/>
  <c r="V182" i="11"/>
  <c r="U182" i="11"/>
  <c r="T182" i="11"/>
  <c r="S182" i="11"/>
  <c r="R182" i="11"/>
  <c r="Q182" i="11"/>
  <c r="V181" i="11"/>
  <c r="U181" i="11"/>
  <c r="T181" i="11"/>
  <c r="S181" i="11"/>
  <c r="Q181" i="11"/>
  <c r="P181" i="11"/>
  <c r="V180" i="11"/>
  <c r="U180" i="11"/>
  <c r="T180" i="11"/>
  <c r="S180" i="11"/>
  <c r="Q180" i="11"/>
  <c r="P180" i="11"/>
  <c r="V179" i="11"/>
  <c r="U179" i="11"/>
  <c r="T179" i="11"/>
  <c r="S179" i="11"/>
  <c r="R179" i="11"/>
  <c r="Q179" i="11"/>
  <c r="N212" i="11"/>
  <c r="Q212" i="11" s="1"/>
  <c r="N207" i="11"/>
  <c r="Q207" i="11" s="1"/>
  <c r="N239" i="11"/>
  <c r="Q239" i="11" s="1"/>
  <c r="N236" i="11"/>
  <c r="N243" i="11" l="1"/>
  <c r="Q243" i="11" s="1"/>
  <c r="P299" i="11"/>
  <c r="R299" i="11"/>
  <c r="R300" i="11"/>
  <c r="O168" i="11"/>
  <c r="N203" i="11"/>
  <c r="R203" i="11" s="1"/>
  <c r="N300" i="11"/>
  <c r="P300" i="11" s="1"/>
  <c r="N196" i="10"/>
  <c r="I298" i="11" l="1"/>
  <c r="I15" i="8" l="1"/>
  <c r="F340" i="11"/>
  <c r="G340" i="11" s="1"/>
  <c r="F341" i="11"/>
  <c r="G341" i="11" s="1"/>
  <c r="F344" i="11"/>
  <c r="G344" i="11" s="1"/>
  <c r="E32" i="7"/>
  <c r="F282" i="11"/>
  <c r="F281" i="11"/>
  <c r="F260" i="11"/>
  <c r="F280" i="11" l="1"/>
  <c r="M33" i="7" s="1"/>
  <c r="E31" i="7"/>
  <c r="E38" i="7"/>
  <c r="L43" i="7"/>
  <c r="L42" i="7" s="1"/>
  <c r="L41" i="7" s="1"/>
  <c r="K43" i="7"/>
  <c r="K42" i="7" s="1"/>
  <c r="K41" i="7" s="1"/>
  <c r="L40" i="7"/>
  <c r="K40" i="7"/>
  <c r="K39" i="7" s="1"/>
  <c r="K38" i="7" s="1"/>
  <c r="L37" i="7"/>
  <c r="L36" i="7" s="1"/>
  <c r="K37" i="7"/>
  <c r="K36" i="7" s="1"/>
  <c r="L35" i="7"/>
  <c r="K35" i="7"/>
  <c r="L34" i="7"/>
  <c r="K34" i="7"/>
  <c r="L33" i="7"/>
  <c r="K33" i="7"/>
  <c r="P345" i="11"/>
  <c r="V344" i="11"/>
  <c r="U344" i="11"/>
  <c r="T344" i="11"/>
  <c r="S344" i="11"/>
  <c r="R344" i="11"/>
  <c r="Q344" i="11"/>
  <c r="P344" i="11"/>
  <c r="U343" i="11"/>
  <c r="T343" i="11"/>
  <c r="S343" i="11"/>
  <c r="R343" i="11"/>
  <c r="Q343" i="11"/>
  <c r="P343" i="11"/>
  <c r="V342" i="11"/>
  <c r="T342" i="11"/>
  <c r="S342" i="11"/>
  <c r="R342" i="11"/>
  <c r="Q342" i="11"/>
  <c r="P342" i="11"/>
  <c r="V341" i="11"/>
  <c r="U341" i="11"/>
  <c r="T341" i="11"/>
  <c r="S341" i="11"/>
  <c r="R341" i="11"/>
  <c r="Q341" i="11"/>
  <c r="P341" i="11"/>
  <c r="V340" i="11"/>
  <c r="U340" i="11"/>
  <c r="T340" i="11"/>
  <c r="S340" i="11"/>
  <c r="R340" i="11"/>
  <c r="Q340" i="11"/>
  <c r="P340" i="11"/>
  <c r="U339" i="11"/>
  <c r="T339" i="11"/>
  <c r="S339" i="11"/>
  <c r="R339" i="11"/>
  <c r="Q339" i="11"/>
  <c r="P339" i="11"/>
  <c r="K32" i="7" l="1"/>
  <c r="K31" i="7" s="1"/>
  <c r="L32" i="7"/>
  <c r="L31" i="7" s="1"/>
  <c r="N33" i="7"/>
  <c r="L39" i="7"/>
  <c r="L38" i="7" s="1"/>
  <c r="N132" i="11"/>
  <c r="N309" i="11"/>
  <c r="P309" i="11" s="1"/>
  <c r="I238" i="11"/>
  <c r="P338" i="11"/>
  <c r="N258" i="11"/>
  <c r="N185" i="11"/>
  <c r="P185" i="11" s="1"/>
  <c r="N195" i="11"/>
  <c r="T195" i="11" s="1"/>
  <c r="N193" i="11"/>
  <c r="R193" i="11" s="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G247" i="11"/>
  <c r="G246" i="11"/>
  <c r="G245" i="11"/>
  <c r="G244" i="11"/>
  <c r="G242" i="11"/>
  <c r="G241" i="11"/>
  <c r="G249" i="11"/>
  <c r="G254" i="11"/>
  <c r="G282" i="11"/>
  <c r="G316" i="11"/>
  <c r="G308" i="11"/>
  <c r="G307" i="11"/>
  <c r="G303" i="11"/>
  <c r="G337" i="11"/>
  <c r="G274" i="11"/>
  <c r="F258" i="11" l="1"/>
  <c r="G258" i="11" s="1"/>
  <c r="Q258" i="11"/>
  <c r="I197" i="10"/>
  <c r="F224" i="10"/>
  <c r="I224" i="10"/>
  <c r="I227" i="10"/>
  <c r="N227" i="10" s="1"/>
  <c r="F34" i="7" l="1"/>
  <c r="G34" i="7" s="1"/>
  <c r="G224" i="10"/>
  <c r="F208" i="10"/>
  <c r="F209" i="10"/>
  <c r="F214" i="10"/>
  <c r="F213" i="10"/>
  <c r="N201" i="10"/>
  <c r="F201" i="10" s="1"/>
  <c r="N200" i="10"/>
  <c r="F200" i="10" s="1"/>
  <c r="G200" i="10" s="1"/>
  <c r="N121" i="10" l="1"/>
  <c r="N101" i="10"/>
  <c r="N53" i="10"/>
  <c r="N31" i="10"/>
  <c r="N116" i="10"/>
  <c r="N10" i="1" l="1"/>
  <c r="K10" i="1"/>
  <c r="J10" i="1"/>
  <c r="I10" i="1"/>
  <c r="H10" i="1"/>
  <c r="G10" i="1"/>
  <c r="F10" i="1"/>
  <c r="L10" i="1"/>
  <c r="E26" i="1"/>
  <c r="G214" i="10"/>
  <c r="G213" i="10"/>
  <c r="G222" i="10"/>
  <c r="G240" i="10"/>
  <c r="G239" i="10"/>
  <c r="G237" i="10"/>
  <c r="G236" i="10"/>
  <c r="G235" i="10"/>
  <c r="G233" i="10"/>
  <c r="G231" i="10"/>
  <c r="G230" i="10"/>
  <c r="G228" i="10"/>
  <c r="G209" i="10"/>
  <c r="G202" i="10"/>
  <c r="G201" i="10"/>
  <c r="G198" i="10"/>
  <c r="G194" i="10"/>
  <c r="G188" i="10"/>
  <c r="G187" i="10"/>
  <c r="G186" i="10"/>
  <c r="G185" i="10"/>
  <c r="D278" i="11" l="1"/>
  <c r="P282" i="11" l="1"/>
  <c r="N280" i="11"/>
  <c r="D25" i="7" l="1"/>
  <c r="N197" i="10"/>
  <c r="F197" i="10" l="1"/>
  <c r="D211" i="10"/>
  <c r="G197" i="10" l="1"/>
  <c r="I212" i="10"/>
  <c r="F25" i="7" s="1"/>
  <c r="D37" i="7" l="1"/>
  <c r="D16" i="7" l="1"/>
  <c r="N342" i="11"/>
  <c r="N213" i="11"/>
  <c r="T213" i="11" s="1"/>
  <c r="N208" i="11"/>
  <c r="T208" i="11" s="1"/>
  <c r="U342" i="11" l="1"/>
  <c r="F342" i="11"/>
  <c r="G342" i="11" s="1"/>
  <c r="I229" i="10"/>
  <c r="F229" i="10" s="1"/>
  <c r="Q161" i="11"/>
  <c r="G229" i="10" l="1"/>
  <c r="F38" i="7"/>
  <c r="G38" i="7" s="1"/>
  <c r="V326" i="11"/>
  <c r="U326" i="11"/>
  <c r="S326" i="11"/>
  <c r="R326" i="11"/>
  <c r="Q326" i="11"/>
  <c r="P326" i="11"/>
  <c r="V328" i="11"/>
  <c r="U328" i="11"/>
  <c r="T328" i="11"/>
  <c r="S328" i="11"/>
  <c r="R328" i="11"/>
  <c r="Q328" i="11"/>
  <c r="P328" i="11"/>
  <c r="V331" i="11"/>
  <c r="U331" i="11"/>
  <c r="T331" i="11"/>
  <c r="R331" i="11"/>
  <c r="Q331" i="11"/>
  <c r="P331" i="11"/>
  <c r="V330" i="11"/>
  <c r="U330" i="11"/>
  <c r="T330" i="11"/>
  <c r="S330" i="11"/>
  <c r="R330" i="11"/>
  <c r="P330" i="11"/>
  <c r="V329" i="11"/>
  <c r="U329" i="11"/>
  <c r="T329" i="11"/>
  <c r="S329" i="11"/>
  <c r="R329" i="11"/>
  <c r="Q329" i="11"/>
  <c r="V296" i="11"/>
  <c r="U296" i="11"/>
  <c r="S296" i="11"/>
  <c r="R296" i="11"/>
  <c r="Q296" i="11"/>
  <c r="P296" i="11"/>
  <c r="V295" i="11"/>
  <c r="U295" i="11"/>
  <c r="T295" i="11"/>
  <c r="S295" i="11"/>
  <c r="R295" i="11"/>
  <c r="Q295" i="11"/>
  <c r="P295" i="11"/>
  <c r="V294" i="11"/>
  <c r="U294" i="11"/>
  <c r="T294" i="11"/>
  <c r="S294" i="11"/>
  <c r="R294" i="11"/>
  <c r="Q294" i="11"/>
  <c r="V293" i="11"/>
  <c r="U293" i="11"/>
  <c r="T293" i="11"/>
  <c r="S293" i="11"/>
  <c r="R293" i="11"/>
  <c r="Q293" i="11"/>
  <c r="P306" i="11"/>
  <c r="V304" i="11"/>
  <c r="U304" i="11"/>
  <c r="T304" i="11"/>
  <c r="S304" i="11"/>
  <c r="R304" i="11"/>
  <c r="Q304" i="11"/>
  <c r="P304" i="11"/>
  <c r="V303" i="11"/>
  <c r="U303" i="11"/>
  <c r="T303" i="11"/>
  <c r="S303" i="11"/>
  <c r="R303" i="11"/>
  <c r="Q303" i="11"/>
  <c r="V302" i="11"/>
  <c r="U302" i="11"/>
  <c r="T302" i="11"/>
  <c r="S302" i="11"/>
  <c r="R302" i="11"/>
  <c r="Q302" i="11"/>
  <c r="P302" i="11"/>
  <c r="V301" i="11"/>
  <c r="U301" i="11"/>
  <c r="T301" i="11"/>
  <c r="S301" i="11"/>
  <c r="R301" i="11"/>
  <c r="Q301" i="11"/>
  <c r="V298" i="11"/>
  <c r="U298" i="11"/>
  <c r="T298" i="11"/>
  <c r="S298" i="11"/>
  <c r="R298" i="11"/>
  <c r="Q298" i="11"/>
  <c r="P298" i="11"/>
  <c r="V353" i="11"/>
  <c r="U353" i="11"/>
  <c r="T353" i="11"/>
  <c r="S353" i="11"/>
  <c r="R353" i="11"/>
  <c r="Q353" i="11"/>
  <c r="V352" i="11"/>
  <c r="U352" i="11"/>
  <c r="T352" i="11"/>
  <c r="S352" i="11"/>
  <c r="R352" i="11"/>
  <c r="Q352" i="11"/>
  <c r="P318" i="11"/>
  <c r="Q318" i="11"/>
  <c r="S318" i="11"/>
  <c r="T318" i="11"/>
  <c r="U318" i="11"/>
  <c r="V318" i="11"/>
  <c r="P319" i="11"/>
  <c r="Q319" i="11"/>
  <c r="R319" i="11"/>
  <c r="S319" i="11"/>
  <c r="U319" i="11"/>
  <c r="V319" i="11"/>
  <c r="P320" i="11"/>
  <c r="Q320" i="11"/>
  <c r="R320" i="11"/>
  <c r="S320" i="11"/>
  <c r="T320" i="11"/>
  <c r="U320" i="11"/>
  <c r="V320" i="11"/>
  <c r="P321" i="11"/>
  <c r="Q321" i="11"/>
  <c r="R321" i="11"/>
  <c r="S321" i="11"/>
  <c r="T321" i="11"/>
  <c r="V321" i="11"/>
  <c r="P322" i="11"/>
  <c r="Q322" i="11"/>
  <c r="R322" i="11"/>
  <c r="S322" i="11"/>
  <c r="U322" i="11"/>
  <c r="V322" i="11"/>
  <c r="P323" i="11"/>
  <c r="Q323" i="11"/>
  <c r="R323" i="11"/>
  <c r="S323" i="11"/>
  <c r="U323" i="11"/>
  <c r="V323" i="11"/>
  <c r="P324" i="11"/>
  <c r="Q324" i="11"/>
  <c r="R324" i="11"/>
  <c r="S324" i="11"/>
  <c r="U324" i="11"/>
  <c r="V324" i="11"/>
  <c r="P325" i="11"/>
  <c r="Q325" i="11"/>
  <c r="R325" i="11"/>
  <c r="S325" i="11"/>
  <c r="U325" i="11"/>
  <c r="V325" i="11"/>
  <c r="P297" i="11"/>
  <c r="E11" i="1" l="1"/>
  <c r="N307" i="11"/>
  <c r="P307" i="11" l="1"/>
  <c r="N353" i="11"/>
  <c r="F353" i="11" s="1"/>
  <c r="G353" i="11" s="1"/>
  <c r="N352" i="11"/>
  <c r="F352" i="11" s="1"/>
  <c r="G352" i="11" s="1"/>
  <c r="P352" i="11" l="1"/>
  <c r="P353" i="11"/>
  <c r="N162" i="11"/>
  <c r="N195" i="10" l="1"/>
  <c r="F195" i="10" l="1"/>
  <c r="G195" i="10" s="1"/>
  <c r="N199" i="10"/>
  <c r="N182" i="10"/>
  <c r="N178" i="10"/>
  <c r="N177" i="10"/>
  <c r="N209" i="10"/>
  <c r="F199" i="10" l="1"/>
  <c r="G199" i="10" s="1"/>
  <c r="I198" i="10"/>
  <c r="N198" i="10"/>
  <c r="I160" i="10"/>
  <c r="N122" i="10" l="1"/>
  <c r="N123" i="10"/>
  <c r="N102" i="10"/>
  <c r="N55" i="10" l="1"/>
  <c r="N33" i="10"/>
  <c r="D42" i="10" l="1"/>
  <c r="D39" i="11"/>
  <c r="N332" i="11"/>
  <c r="N331" i="11"/>
  <c r="S331" i="11" s="1"/>
  <c r="N330" i="11"/>
  <c r="Q330" i="11" s="1"/>
  <c r="N329" i="11"/>
  <c r="P329" i="11" s="1"/>
  <c r="N326" i="11"/>
  <c r="N325" i="11"/>
  <c r="N324" i="11"/>
  <c r="T324" i="11" s="1"/>
  <c r="N323" i="11"/>
  <c r="N322" i="11"/>
  <c r="N319" i="11"/>
  <c r="N318" i="11"/>
  <c r="N317" i="11"/>
  <c r="N316" i="11"/>
  <c r="N314" i="11"/>
  <c r="F314" i="11" s="1"/>
  <c r="G314" i="11" s="1"/>
  <c r="N313" i="11"/>
  <c r="N312" i="11"/>
  <c r="N311" i="11"/>
  <c r="N308" i="11"/>
  <c r="N306" i="11" s="1"/>
  <c r="N305" i="11"/>
  <c r="N303" i="11"/>
  <c r="P303" i="11" s="1"/>
  <c r="N301" i="11"/>
  <c r="P301" i="11" s="1"/>
  <c r="N297" i="11"/>
  <c r="N296" i="11"/>
  <c r="T296" i="11" s="1"/>
  <c r="P294" i="11"/>
  <c r="P293" i="11"/>
  <c r="I315" i="11"/>
  <c r="I304" i="11"/>
  <c r="I302" i="11"/>
  <c r="I295" i="11"/>
  <c r="I292" i="11"/>
  <c r="T323" i="11" l="1"/>
  <c r="F323" i="11"/>
  <c r="G323" i="11" s="1"/>
  <c r="I306" i="11"/>
  <c r="F306" i="11"/>
  <c r="G306" i="11" s="1"/>
  <c r="T326" i="11"/>
  <c r="F326" i="11"/>
  <c r="G326" i="11" s="1"/>
  <c r="T322" i="11"/>
  <c r="F322" i="11"/>
  <c r="G322" i="11" s="1"/>
  <c r="T325" i="11"/>
  <c r="F325" i="11"/>
  <c r="G325" i="11" s="1"/>
  <c r="R318" i="11"/>
  <c r="F318" i="11"/>
  <c r="G318" i="11" s="1"/>
  <c r="T319" i="11"/>
  <c r="F319" i="11"/>
  <c r="G319" i="11" s="1"/>
  <c r="N302" i="11"/>
  <c r="F302" i="11" s="1"/>
  <c r="G302" i="11" s="1"/>
  <c r="N295" i="11"/>
  <c r="F295" i="11" s="1"/>
  <c r="G295" i="11" s="1"/>
  <c r="N298" i="11"/>
  <c r="F298" i="11" s="1"/>
  <c r="G298" i="11" s="1"/>
  <c r="N292" i="11"/>
  <c r="N315" i="11"/>
  <c r="N304" i="11"/>
  <c r="D8" i="11"/>
  <c r="K12" i="7" s="1"/>
  <c r="K13" i="7"/>
  <c r="P308" i="11"/>
  <c r="D264" i="11"/>
  <c r="K30" i="7" l="1"/>
  <c r="I18" i="8"/>
  <c r="I20" i="8"/>
  <c r="D41" i="7"/>
  <c r="D40" i="7"/>
  <c r="D39" i="7"/>
  <c r="D38" i="7"/>
  <c r="N191" i="10"/>
  <c r="N192" i="10"/>
  <c r="N193" i="10"/>
  <c r="N190" i="10"/>
  <c r="N186" i="10"/>
  <c r="N187" i="10"/>
  <c r="N188" i="10"/>
  <c r="N185" i="10"/>
  <c r="N180" i="10"/>
  <c r="N240" i="10"/>
  <c r="N239" i="10"/>
  <c r="N237" i="10"/>
  <c r="N236" i="10"/>
  <c r="N235" i="10"/>
  <c r="N233" i="10"/>
  <c r="N231" i="10"/>
  <c r="N230" i="10"/>
  <c r="N228" i="10"/>
  <c r="I238" i="10"/>
  <c r="F238" i="10" s="1"/>
  <c r="G238" i="10" l="1"/>
  <c r="F41" i="7"/>
  <c r="D36" i="7"/>
  <c r="D35" i="7" s="1"/>
  <c r="C20" i="8" s="1"/>
  <c r="N175" i="10"/>
  <c r="N208" i="10"/>
  <c r="N207" i="10" s="1"/>
  <c r="N202" i="11" l="1"/>
  <c r="T202" i="11" s="1"/>
  <c r="T354" i="11" l="1"/>
  <c r="S354" i="11"/>
  <c r="R354" i="11"/>
  <c r="T351" i="11"/>
  <c r="S351" i="11"/>
  <c r="R351" i="11"/>
  <c r="Q354" i="11"/>
  <c r="Q351" i="11"/>
  <c r="N274" i="11" l="1"/>
  <c r="N273" i="11" l="1"/>
  <c r="P274" i="11"/>
  <c r="P273" i="11" s="1"/>
  <c r="L29" i="7" l="1"/>
  <c r="N29" i="7" s="1"/>
  <c r="E12" i="1" l="1"/>
  <c r="E13" i="1"/>
  <c r="E14" i="1"/>
  <c r="E15" i="1"/>
  <c r="E16" i="1"/>
  <c r="E17" i="1"/>
  <c r="E18" i="1"/>
  <c r="E19" i="1"/>
  <c r="E20" i="1"/>
  <c r="E21" i="1"/>
  <c r="E22" i="1"/>
  <c r="E23" i="1"/>
  <c r="E25" i="1"/>
  <c r="D7" i="11"/>
  <c r="N201" i="11"/>
  <c r="S201" i="11" s="1"/>
  <c r="T350" i="11" l="1"/>
  <c r="S350" i="11"/>
  <c r="R350" i="11"/>
  <c r="Q350" i="11"/>
  <c r="T349" i="11"/>
  <c r="S349" i="11"/>
  <c r="R349" i="11"/>
  <c r="Q349" i="11"/>
  <c r="T348" i="11"/>
  <c r="S348" i="11"/>
  <c r="R348" i="11"/>
  <c r="Q348" i="11"/>
  <c r="U354" i="11"/>
  <c r="V354" i="11"/>
  <c r="N354" i="11"/>
  <c r="F354" i="11" l="1"/>
  <c r="G354" i="11" s="1"/>
  <c r="P354" i="11"/>
  <c r="Q178" i="11" l="1"/>
  <c r="N204" i="11"/>
  <c r="Q204" i="11" s="1"/>
  <c r="N184" i="11" l="1"/>
  <c r="P184" i="11" s="1"/>
  <c r="U338" i="11"/>
  <c r="T338" i="11"/>
  <c r="S338" i="11"/>
  <c r="R338" i="11"/>
  <c r="Q338" i="11"/>
  <c r="U337" i="11"/>
  <c r="T337" i="11"/>
  <c r="S337" i="11"/>
  <c r="R337" i="11"/>
  <c r="Q337" i="11"/>
  <c r="T347" i="11"/>
  <c r="T346" i="11" s="1"/>
  <c r="T345" i="11" s="1"/>
  <c r="S347" i="11"/>
  <c r="S346" i="11" s="1"/>
  <c r="S345" i="11" s="1"/>
  <c r="R347" i="11"/>
  <c r="R346" i="11" s="1"/>
  <c r="R345" i="11" s="1"/>
  <c r="Q347" i="11"/>
  <c r="Q346" i="11" s="1"/>
  <c r="Q345" i="11" s="1"/>
  <c r="V348" i="11"/>
  <c r="F132" i="11"/>
  <c r="G132" i="11" s="1"/>
  <c r="P310" i="11"/>
  <c r="R292" i="11"/>
  <c r="R297" i="11"/>
  <c r="R305" i="11"/>
  <c r="R306" i="11"/>
  <c r="R308" i="11"/>
  <c r="R310" i="11"/>
  <c r="R316" i="11"/>
  <c r="R315" i="11"/>
  <c r="R314" i="11"/>
  <c r="R312" i="11"/>
  <c r="R311" i="11"/>
  <c r="V337" i="11"/>
  <c r="V297" i="11"/>
  <c r="U297" i="11"/>
  <c r="S297" i="11"/>
  <c r="Q297" i="11"/>
  <c r="F338" i="11"/>
  <c r="N339" i="11"/>
  <c r="N343" i="11"/>
  <c r="R313" i="11"/>
  <c r="T297" i="11"/>
  <c r="N277" i="11"/>
  <c r="N276" i="11"/>
  <c r="D263" i="11"/>
  <c r="D255" i="11"/>
  <c r="N174" i="11"/>
  <c r="P174" i="11" s="1"/>
  <c r="Q174" i="11"/>
  <c r="R174" i="11"/>
  <c r="S174" i="11"/>
  <c r="T174" i="11"/>
  <c r="U174" i="11"/>
  <c r="V174" i="11"/>
  <c r="N59" i="11"/>
  <c r="N135" i="11"/>
  <c r="P276" i="11" l="1"/>
  <c r="F276" i="11"/>
  <c r="G276" i="11" s="1"/>
  <c r="P277" i="11"/>
  <c r="F277" i="11"/>
  <c r="G277" i="11" s="1"/>
  <c r="V343" i="11"/>
  <c r="F343" i="11"/>
  <c r="G343" i="11" s="1"/>
  <c r="V339" i="11"/>
  <c r="F339" i="11"/>
  <c r="G339" i="11" s="1"/>
  <c r="V338" i="11"/>
  <c r="I310" i="11"/>
  <c r="I328" i="11"/>
  <c r="P292" i="11"/>
  <c r="S336" i="11"/>
  <c r="S335" i="11" s="1"/>
  <c r="S334" i="11" s="1"/>
  <c r="Q336" i="11"/>
  <c r="Q335" i="11" s="1"/>
  <c r="Q334" i="11" s="1"/>
  <c r="R336" i="11"/>
  <c r="R335" i="11" s="1"/>
  <c r="R334" i="11" s="1"/>
  <c r="T336" i="11"/>
  <c r="T335" i="11" s="1"/>
  <c r="T334" i="11" s="1"/>
  <c r="U336" i="11"/>
  <c r="U335" i="11" s="1"/>
  <c r="P315" i="11"/>
  <c r="P275" i="11"/>
  <c r="N107" i="11"/>
  <c r="N40" i="11"/>
  <c r="N9" i="11"/>
  <c r="N87" i="11"/>
  <c r="D17" i="7"/>
  <c r="N203" i="10"/>
  <c r="N204" i="10"/>
  <c r="F204" i="10" s="1"/>
  <c r="G204" i="10" s="1"/>
  <c r="N163" i="10"/>
  <c r="N162" i="10"/>
  <c r="N202" i="10" l="1"/>
  <c r="N194" i="10" s="1"/>
  <c r="F203" i="10"/>
  <c r="G203" i="10" s="1"/>
  <c r="N310" i="11"/>
  <c r="N328" i="11"/>
  <c r="R317" i="11"/>
  <c r="N238" i="10"/>
  <c r="I232" i="10"/>
  <c r="F232" i="10" s="1"/>
  <c r="I234" i="10"/>
  <c r="F234" i="10" s="1"/>
  <c r="F227" i="10"/>
  <c r="G234" i="10" l="1"/>
  <c r="F40" i="7"/>
  <c r="G232" i="10"/>
  <c r="F39" i="7"/>
  <c r="G227" i="10"/>
  <c r="F37" i="7"/>
  <c r="E41" i="7"/>
  <c r="G41" i="7" s="1"/>
  <c r="D219" i="10"/>
  <c r="N172" i="10"/>
  <c r="N171" i="10"/>
  <c r="N170" i="10"/>
  <c r="N169" i="10"/>
  <c r="N168" i="10"/>
  <c r="N167" i="10"/>
  <c r="N166" i="10"/>
  <c r="N165" i="10"/>
  <c r="I189" i="10"/>
  <c r="I184" i="10"/>
  <c r="F36" i="7" l="1"/>
  <c r="N184" i="10"/>
  <c r="F184" i="10" s="1"/>
  <c r="G184" i="10" s="1"/>
  <c r="N189" i="10"/>
  <c r="F189" i="10" s="1"/>
  <c r="G189" i="10" s="1"/>
  <c r="N164" i="10"/>
  <c r="F35" i="7" l="1"/>
  <c r="E20" i="8"/>
  <c r="N161" i="10"/>
  <c r="N160" i="10"/>
  <c r="N108" i="10"/>
  <c r="N115" i="10"/>
  <c r="N130" i="10"/>
  <c r="N129" i="10"/>
  <c r="N124" i="10"/>
  <c r="N120" i="10"/>
  <c r="N119" i="10"/>
  <c r="N128" i="10"/>
  <c r="N127" i="10"/>
  <c r="N125" i="10"/>
  <c r="N104" i="10"/>
  <c r="N96" i="10"/>
  <c r="N94" i="10"/>
  <c r="N95" i="10"/>
  <c r="N97" i="10"/>
  <c r="N98" i="10"/>
  <c r="N99" i="10"/>
  <c r="N100" i="10"/>
  <c r="N93" i="10"/>
  <c r="N92" i="10"/>
  <c r="N91" i="10"/>
  <c r="N90" i="10"/>
  <c r="N89" i="10"/>
  <c r="N58" i="10" l="1"/>
  <c r="G208" i="10"/>
  <c r="G8" i="10"/>
  <c r="F9" i="10"/>
  <c r="G9" i="10" s="1"/>
  <c r="F207" i="10"/>
  <c r="G207" i="10" s="1"/>
  <c r="F215" i="10"/>
  <c r="F216" i="10"/>
  <c r="F217" i="10"/>
  <c r="F223" i="10"/>
  <c r="G223" i="10" s="1"/>
  <c r="F33" i="7" l="1"/>
  <c r="G33" i="7" s="1"/>
  <c r="G215" i="10"/>
  <c r="F211" i="10"/>
  <c r="N188" i="11"/>
  <c r="P188" i="11" s="1"/>
  <c r="N237" i="11"/>
  <c r="R237" i="11" s="1"/>
  <c r="N238" i="11"/>
  <c r="P238" i="11" s="1"/>
  <c r="N136" i="10" l="1"/>
  <c r="N39" i="10"/>
  <c r="F136" i="10" l="1"/>
  <c r="G136" i="10" s="1"/>
  <c r="F348" i="11"/>
  <c r="G348" i="11" s="1"/>
  <c r="U332" i="11" l="1"/>
  <c r="U333" i="11"/>
  <c r="U348" i="11"/>
  <c r="U349" i="11"/>
  <c r="U350" i="11"/>
  <c r="U351" i="11"/>
  <c r="V248" i="11"/>
  <c r="V249" i="11"/>
  <c r="V250" i="11"/>
  <c r="V251" i="11"/>
  <c r="V252" i="11"/>
  <c r="V253" i="11"/>
  <c r="V254" i="11"/>
  <c r="V255" i="11"/>
  <c r="V256" i="11"/>
  <c r="V259" i="11"/>
  <c r="V263" i="11"/>
  <c r="V264" i="11"/>
  <c r="V265" i="11"/>
  <c r="V266" i="11"/>
  <c r="V267" i="11"/>
  <c r="V268" i="11"/>
  <c r="V269" i="11"/>
  <c r="V270" i="11"/>
  <c r="V271" i="11"/>
  <c r="V272" i="11"/>
  <c r="V275" i="11"/>
  <c r="V278" i="11"/>
  <c r="V279" i="11"/>
  <c r="V280" i="11"/>
  <c r="V281" i="11"/>
  <c r="V283" i="11"/>
  <c r="V284" i="11"/>
  <c r="V285" i="11"/>
  <c r="V286" i="11"/>
  <c r="V287" i="11"/>
  <c r="V288" i="11"/>
  <c r="V289" i="11"/>
  <c r="V290" i="11"/>
  <c r="V291" i="11"/>
  <c r="V292" i="11"/>
  <c r="V305" i="11"/>
  <c r="V306" i="11"/>
  <c r="V308" i="11"/>
  <c r="V310" i="11"/>
  <c r="V311" i="11"/>
  <c r="V312" i="11"/>
  <c r="V313" i="11"/>
  <c r="V314" i="11"/>
  <c r="V315" i="11"/>
  <c r="V316" i="11"/>
  <c r="V317" i="11"/>
  <c r="V332" i="11"/>
  <c r="V333" i="11"/>
  <c r="V349" i="11"/>
  <c r="V350" i="11"/>
  <c r="V351" i="11"/>
  <c r="D32" i="7"/>
  <c r="D31" i="7" s="1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E26" i="7"/>
  <c r="D26" i="7"/>
  <c r="D22" i="7"/>
  <c r="J22" i="8"/>
  <c r="K24" i="7"/>
  <c r="E21" i="7"/>
  <c r="D21" i="7"/>
  <c r="D12" i="7"/>
  <c r="D13" i="7"/>
  <c r="E12" i="7"/>
  <c r="E13" i="7"/>
  <c r="E17" i="7"/>
  <c r="D20" i="7"/>
  <c r="D19" i="7"/>
  <c r="D18" i="7"/>
  <c r="U347" i="11" l="1"/>
  <c r="U346" i="11" s="1"/>
  <c r="U345" i="11" s="1"/>
  <c r="D30" i="7"/>
  <c r="C18" i="8" s="1"/>
  <c r="D15" i="7"/>
  <c r="D24" i="7"/>
  <c r="D23" i="7" s="1"/>
  <c r="C14" i="8" l="1"/>
  <c r="C13" i="8" s="1"/>
  <c r="N229" i="10"/>
  <c r="N232" i="10"/>
  <c r="N234" i="10"/>
  <c r="N222" i="10"/>
  <c r="N214" i="10"/>
  <c r="N213" i="10"/>
  <c r="N211" i="10" s="1"/>
  <c r="N220" i="10" l="1"/>
  <c r="N219" i="10" s="1"/>
  <c r="I220" i="10"/>
  <c r="G281" i="11"/>
  <c r="F220" i="10"/>
  <c r="F219" i="10" s="1"/>
  <c r="E25" i="7"/>
  <c r="G25" i="7" s="1"/>
  <c r="E40" i="7"/>
  <c r="G40" i="7" s="1"/>
  <c r="E39" i="7"/>
  <c r="G39" i="7" s="1"/>
  <c r="E37" i="7"/>
  <c r="G37" i="7" s="1"/>
  <c r="N226" i="10"/>
  <c r="F175" i="10"/>
  <c r="G175" i="10" s="1"/>
  <c r="G212" i="10" l="1"/>
  <c r="G36" i="7"/>
  <c r="G35" i="7" s="1"/>
  <c r="E36" i="7"/>
  <c r="E35" i="7" s="1"/>
  <c r="D20" i="8" s="1"/>
  <c r="F20" i="8" s="1"/>
  <c r="F164" i="10"/>
  <c r="G164" i="10" s="1"/>
  <c r="F226" i="10"/>
  <c r="N159" i="10"/>
  <c r="N350" i="11"/>
  <c r="N351" i="11"/>
  <c r="N349" i="11"/>
  <c r="I348" i="11"/>
  <c r="N126" i="10"/>
  <c r="N118" i="10"/>
  <c r="N117" i="10"/>
  <c r="N114" i="10"/>
  <c r="N113" i="10"/>
  <c r="N112" i="10"/>
  <c r="N111" i="10"/>
  <c r="N110" i="10"/>
  <c r="N109" i="10"/>
  <c r="N106" i="10"/>
  <c r="N105" i="10"/>
  <c r="N103" i="10"/>
  <c r="N88" i="10" s="1"/>
  <c r="N60" i="10"/>
  <c r="N59" i="10"/>
  <c r="N57" i="10"/>
  <c r="N56" i="10"/>
  <c r="N54" i="10"/>
  <c r="N52" i="10"/>
  <c r="N51" i="10"/>
  <c r="N50" i="10"/>
  <c r="N49" i="10"/>
  <c r="N48" i="10"/>
  <c r="N47" i="10"/>
  <c r="N46" i="10"/>
  <c r="N45" i="10"/>
  <c r="N44" i="10"/>
  <c r="N41" i="10"/>
  <c r="N40" i="10"/>
  <c r="N38" i="10"/>
  <c r="N37" i="10"/>
  <c r="N36" i="10"/>
  <c r="N35" i="10"/>
  <c r="N34" i="10"/>
  <c r="N32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G220" i="10" l="1"/>
  <c r="F210" i="10"/>
  <c r="G210" i="10" s="1"/>
  <c r="G211" i="10"/>
  <c r="F225" i="10"/>
  <c r="G225" i="10" s="1"/>
  <c r="G226" i="10"/>
  <c r="D19" i="8"/>
  <c r="E30" i="7"/>
  <c r="F351" i="11"/>
  <c r="G351" i="11" s="1"/>
  <c r="F349" i="11"/>
  <c r="G349" i="11" s="1"/>
  <c r="F350" i="11"/>
  <c r="G350" i="11" s="1"/>
  <c r="V347" i="11"/>
  <c r="F159" i="10"/>
  <c r="G159" i="10" s="1"/>
  <c r="E20" i="7"/>
  <c r="N107" i="10"/>
  <c r="F32" i="7"/>
  <c r="E19" i="8"/>
  <c r="F19" i="8" s="1"/>
  <c r="I337" i="11"/>
  <c r="N337" i="11" s="1"/>
  <c r="N43" i="10"/>
  <c r="F31" i="7" l="1"/>
  <c r="G32" i="7"/>
  <c r="G31" i="7" s="1"/>
  <c r="G30" i="7" s="1"/>
  <c r="D18" i="8"/>
  <c r="F30" i="7"/>
  <c r="E18" i="8" s="1"/>
  <c r="F18" i="8" s="1"/>
  <c r="N336" i="11"/>
  <c r="M40" i="7" s="1"/>
  <c r="G338" i="11"/>
  <c r="F218" i="10"/>
  <c r="G219" i="10"/>
  <c r="F43" i="10"/>
  <c r="G43" i="10" s="1"/>
  <c r="D17" i="8"/>
  <c r="F347" i="11"/>
  <c r="E24" i="7"/>
  <c r="E23" i="7" s="1"/>
  <c r="D14" i="8" s="1"/>
  <c r="F88" i="10"/>
  <c r="G88" i="10" s="1"/>
  <c r="E19" i="7"/>
  <c r="N191" i="11"/>
  <c r="T191" i="11" s="1"/>
  <c r="G347" i="11" l="1"/>
  <c r="M43" i="7"/>
  <c r="K18" i="8"/>
  <c r="N40" i="7"/>
  <c r="N39" i="7" s="1"/>
  <c r="N38" i="7" s="1"/>
  <c r="M39" i="7"/>
  <c r="M38" i="7" s="1"/>
  <c r="G218" i="10"/>
  <c r="J20" i="8"/>
  <c r="D13" i="8"/>
  <c r="E17" i="8"/>
  <c r="F17" i="8" s="1"/>
  <c r="F336" i="11"/>
  <c r="G336" i="11" s="1"/>
  <c r="P337" i="11"/>
  <c r="N43" i="7" l="1"/>
  <c r="N42" i="7" s="1"/>
  <c r="N41" i="7" s="1"/>
  <c r="M42" i="7"/>
  <c r="M41" i="7" s="1"/>
  <c r="P336" i="11"/>
  <c r="P335" i="11" s="1"/>
  <c r="P334" i="11" s="1"/>
  <c r="G280" i="11"/>
  <c r="F335" i="11"/>
  <c r="N244" i="11"/>
  <c r="T244" i="11" s="1"/>
  <c r="Q281" i="11"/>
  <c r="Q280" i="11" s="1"/>
  <c r="R281" i="11"/>
  <c r="R280" i="11" s="1"/>
  <c r="S281" i="11"/>
  <c r="S280" i="11" s="1"/>
  <c r="T281" i="11"/>
  <c r="T280" i="11" s="1"/>
  <c r="U281" i="11"/>
  <c r="U280" i="11" s="1"/>
  <c r="Q284" i="11"/>
  <c r="R284" i="11"/>
  <c r="S284" i="11"/>
  <c r="T284" i="11"/>
  <c r="U284" i="11"/>
  <c r="Q285" i="11"/>
  <c r="R285" i="11"/>
  <c r="S285" i="11"/>
  <c r="U285" i="11"/>
  <c r="Q286" i="11"/>
  <c r="R286" i="11"/>
  <c r="S286" i="11"/>
  <c r="T286" i="11"/>
  <c r="U286" i="11"/>
  <c r="Q288" i="11"/>
  <c r="R288" i="11"/>
  <c r="S288" i="11"/>
  <c r="T288" i="11"/>
  <c r="U288" i="11"/>
  <c r="Q289" i="11"/>
  <c r="R289" i="11"/>
  <c r="S289" i="11"/>
  <c r="T289" i="11"/>
  <c r="U289" i="11"/>
  <c r="F269" i="11"/>
  <c r="G269" i="11" s="1"/>
  <c r="N269" i="11"/>
  <c r="F270" i="11"/>
  <c r="G270" i="11" s="1"/>
  <c r="F271" i="11"/>
  <c r="G271" i="11" s="1"/>
  <c r="F272" i="11"/>
  <c r="G272" i="11" s="1"/>
  <c r="P285" i="11"/>
  <c r="P284" i="11"/>
  <c r="U254" i="11"/>
  <c r="T254" i="11"/>
  <c r="S254" i="11"/>
  <c r="R254" i="11"/>
  <c r="Q254" i="11"/>
  <c r="P254" i="11"/>
  <c r="U253" i="11"/>
  <c r="T253" i="11"/>
  <c r="S253" i="11"/>
  <c r="Q253" i="11"/>
  <c r="P253" i="11"/>
  <c r="I260" i="11"/>
  <c r="N262" i="11"/>
  <c r="Q262" i="11" s="1"/>
  <c r="N261" i="11"/>
  <c r="R261" i="11" s="1"/>
  <c r="N257" i="11"/>
  <c r="D252" i="11"/>
  <c r="F253" i="11"/>
  <c r="N253" i="11"/>
  <c r="N252" i="11" s="1"/>
  <c r="L22" i="7" s="1"/>
  <c r="U251" i="11"/>
  <c r="T251" i="11"/>
  <c r="R251" i="11"/>
  <c r="P251" i="11"/>
  <c r="U250" i="11"/>
  <c r="T250" i="11"/>
  <c r="S250" i="11"/>
  <c r="P250" i="11"/>
  <c r="U249" i="11"/>
  <c r="T249" i="11"/>
  <c r="S249" i="11"/>
  <c r="R249" i="11"/>
  <c r="Q249" i="11"/>
  <c r="P249" i="11"/>
  <c r="K21" i="7"/>
  <c r="I249" i="11"/>
  <c r="N249" i="11" s="1"/>
  <c r="N251" i="11"/>
  <c r="N250" i="11"/>
  <c r="F250" i="11" s="1"/>
  <c r="G250" i="11" s="1"/>
  <c r="N286" i="11"/>
  <c r="N285" i="11"/>
  <c r="F285" i="11" s="1"/>
  <c r="G285" i="11" s="1"/>
  <c r="I284" i="11"/>
  <c r="P289" i="11"/>
  <c r="P288" i="11"/>
  <c r="N289" i="11"/>
  <c r="F288" i="11" s="1"/>
  <c r="I288" i="11"/>
  <c r="P333" i="11"/>
  <c r="Q333" i="11"/>
  <c r="R333" i="11"/>
  <c r="S333" i="11"/>
  <c r="T333" i="11"/>
  <c r="N190" i="11"/>
  <c r="Q190" i="11" s="1"/>
  <c r="N266" i="11"/>
  <c r="F266" i="11" s="1"/>
  <c r="N267" i="11"/>
  <c r="F267" i="11" s="1"/>
  <c r="F257" i="11" l="1"/>
  <c r="G257" i="11" s="1"/>
  <c r="R257" i="11"/>
  <c r="P286" i="11"/>
  <c r="F286" i="11"/>
  <c r="G286" i="11" s="1"/>
  <c r="F261" i="11"/>
  <c r="G261" i="11" s="1"/>
  <c r="Q259" i="11"/>
  <c r="F262" i="11"/>
  <c r="G262" i="11" s="1"/>
  <c r="S251" i="11"/>
  <c r="S248" i="11" s="1"/>
  <c r="F251" i="11"/>
  <c r="G251" i="11" s="1"/>
  <c r="F252" i="11"/>
  <c r="G252" i="11" s="1"/>
  <c r="G253" i="11"/>
  <c r="G260" i="11"/>
  <c r="G284" i="11"/>
  <c r="G335" i="11"/>
  <c r="F256" i="11"/>
  <c r="G256" i="11" s="1"/>
  <c r="N248" i="11"/>
  <c r="Q251" i="11"/>
  <c r="K22" i="7"/>
  <c r="D168" i="11"/>
  <c r="D6" i="11" s="1"/>
  <c r="D5" i="11" s="1"/>
  <c r="Q250" i="11"/>
  <c r="F334" i="11"/>
  <c r="K25" i="7"/>
  <c r="K23" i="7" s="1"/>
  <c r="I11" i="8" s="1"/>
  <c r="P252" i="11"/>
  <c r="U252" i="11"/>
  <c r="T256" i="11"/>
  <c r="U256" i="11"/>
  <c r="S259" i="11"/>
  <c r="T259" i="11"/>
  <c r="T285" i="11"/>
  <c r="T283" i="11" s="1"/>
  <c r="N283" i="11"/>
  <c r="P287" i="11"/>
  <c r="S252" i="11"/>
  <c r="R259" i="11"/>
  <c r="P259" i="11"/>
  <c r="R283" i="11"/>
  <c r="Q252" i="11"/>
  <c r="P256" i="11"/>
  <c r="U248" i="11"/>
  <c r="Q256" i="11"/>
  <c r="T252" i="11"/>
  <c r="S256" i="11"/>
  <c r="Q287" i="11"/>
  <c r="S283" i="11"/>
  <c r="Q283" i="11"/>
  <c r="P283" i="11"/>
  <c r="F275" i="11"/>
  <c r="U287" i="11"/>
  <c r="U259" i="11"/>
  <c r="S287" i="11"/>
  <c r="R287" i="11"/>
  <c r="U283" i="11"/>
  <c r="T287" i="11"/>
  <c r="P248" i="11"/>
  <c r="Q275" i="11"/>
  <c r="R250" i="11"/>
  <c r="R248" i="11" s="1"/>
  <c r="T248" i="11"/>
  <c r="S275" i="11"/>
  <c r="T275" i="11"/>
  <c r="U275" i="11"/>
  <c r="R275" i="11"/>
  <c r="R253" i="11"/>
  <c r="R252" i="11" s="1"/>
  <c r="R256" i="11"/>
  <c r="N259" i="11"/>
  <c r="N256" i="11"/>
  <c r="N288" i="11"/>
  <c r="N287" i="11" s="1"/>
  <c r="F248" i="11" l="1"/>
  <c r="M21" i="7" s="1"/>
  <c r="M22" i="7"/>
  <c r="N22" i="7" s="1"/>
  <c r="F259" i="11"/>
  <c r="F255" i="11" s="1"/>
  <c r="G255" i="11" s="1"/>
  <c r="F283" i="11"/>
  <c r="M34" i="7" s="1"/>
  <c r="N34" i="7" s="1"/>
  <c r="M30" i="7"/>
  <c r="M24" i="7"/>
  <c r="N24" i="7" s="1"/>
  <c r="G288" i="11"/>
  <c r="G273" i="11"/>
  <c r="G275" i="11"/>
  <c r="G334" i="11"/>
  <c r="F287" i="11"/>
  <c r="Q248" i="11"/>
  <c r="J18" i="8"/>
  <c r="L18" i="8" s="1"/>
  <c r="L24" i="7"/>
  <c r="L25" i="7"/>
  <c r="T255" i="11"/>
  <c r="U255" i="11"/>
  <c r="S255" i="11"/>
  <c r="T279" i="11"/>
  <c r="R279" i="11"/>
  <c r="U279" i="11"/>
  <c r="Q255" i="11"/>
  <c r="R255" i="11"/>
  <c r="P255" i="11"/>
  <c r="S279" i="11"/>
  <c r="Q279" i="11"/>
  <c r="N255" i="11"/>
  <c r="G248" i="11" l="1"/>
  <c r="G287" i="11"/>
  <c r="M35" i="7"/>
  <c r="N35" i="7" s="1"/>
  <c r="N32" i="7" s="1"/>
  <c r="G259" i="11"/>
  <c r="M25" i="7"/>
  <c r="L23" i="7"/>
  <c r="L21" i="7"/>
  <c r="N21" i="7" s="1"/>
  <c r="G267" i="11"/>
  <c r="U268" i="11"/>
  <c r="T268" i="11"/>
  <c r="S268" i="11"/>
  <c r="R268" i="11"/>
  <c r="Q268" i="11"/>
  <c r="P268" i="11"/>
  <c r="U267" i="11"/>
  <c r="T267" i="11"/>
  <c r="S267" i="11"/>
  <c r="R267" i="11"/>
  <c r="Q267" i="11"/>
  <c r="P267" i="11"/>
  <c r="U266" i="11"/>
  <c r="T266" i="11"/>
  <c r="S266" i="11"/>
  <c r="R266" i="11"/>
  <c r="Q266" i="11"/>
  <c r="P266" i="11"/>
  <c r="G266" i="11"/>
  <c r="F332" i="11"/>
  <c r="N25" i="7" l="1"/>
  <c r="N23" i="7" s="1"/>
  <c r="M23" i="7"/>
  <c r="K11" i="8" s="1"/>
  <c r="J16" i="8"/>
  <c r="J11" i="8"/>
  <c r="R265" i="11"/>
  <c r="R264" i="11" s="1"/>
  <c r="R263" i="11" s="1"/>
  <c r="P265" i="11"/>
  <c r="P264" i="11" s="1"/>
  <c r="Q265" i="11"/>
  <c r="Q264" i="11" s="1"/>
  <c r="Q263" i="11" s="1"/>
  <c r="L17" i="8"/>
  <c r="S265" i="11"/>
  <c r="S264" i="11" s="1"/>
  <c r="S263" i="11" s="1"/>
  <c r="T265" i="11"/>
  <c r="T264" i="11" s="1"/>
  <c r="T263" i="11" s="1"/>
  <c r="U265" i="11"/>
  <c r="U264" i="11" s="1"/>
  <c r="U263" i="11" s="1"/>
  <c r="F265" i="11"/>
  <c r="G265" i="11" s="1"/>
  <c r="L11" i="8" l="1"/>
  <c r="M28" i="7"/>
  <c r="M27" i="7" l="1"/>
  <c r="T332" i="11"/>
  <c r="S332" i="11"/>
  <c r="T317" i="11"/>
  <c r="S317" i="11"/>
  <c r="T316" i="11"/>
  <c r="S316" i="11"/>
  <c r="T315" i="11"/>
  <c r="S315" i="11"/>
  <c r="T314" i="11"/>
  <c r="S314" i="11"/>
  <c r="T313" i="11"/>
  <c r="S313" i="11"/>
  <c r="T312" i="11"/>
  <c r="S312" i="11"/>
  <c r="S311" i="11"/>
  <c r="S310" i="11"/>
  <c r="S308" i="11"/>
  <c r="S306" i="11"/>
  <c r="S305" i="11"/>
  <c r="S292" i="11"/>
  <c r="T311" i="11"/>
  <c r="T310" i="11"/>
  <c r="T308" i="11"/>
  <c r="T306" i="11"/>
  <c r="T305" i="11"/>
  <c r="T292" i="11"/>
  <c r="T228" i="11"/>
  <c r="S228" i="11"/>
  <c r="T227" i="11"/>
  <c r="S227" i="11"/>
  <c r="T226" i="11"/>
  <c r="S226" i="11"/>
  <c r="T225" i="11"/>
  <c r="S225" i="11"/>
  <c r="T224" i="11"/>
  <c r="S224" i="11"/>
  <c r="T223" i="11"/>
  <c r="S223" i="11"/>
  <c r="T222" i="11"/>
  <c r="S222" i="11"/>
  <c r="T221" i="11"/>
  <c r="S221" i="11"/>
  <c r="T220" i="11"/>
  <c r="S220" i="11"/>
  <c r="T219" i="11"/>
  <c r="S219" i="11"/>
  <c r="S173" i="11"/>
  <c r="T173" i="11"/>
  <c r="S175" i="11"/>
  <c r="T175" i="11"/>
  <c r="S176" i="11"/>
  <c r="T176" i="11"/>
  <c r="S177" i="11"/>
  <c r="T177" i="11"/>
  <c r="S178" i="11"/>
  <c r="T178" i="11"/>
  <c r="T172" i="11"/>
  <c r="S172" i="11"/>
  <c r="U305" i="11"/>
  <c r="U306" i="11"/>
  <c r="U308" i="11"/>
  <c r="U310" i="11"/>
  <c r="U311" i="11"/>
  <c r="U312" i="11"/>
  <c r="U313" i="11"/>
  <c r="U314" i="11"/>
  <c r="U315" i="11"/>
  <c r="U316" i="11"/>
  <c r="U317" i="11"/>
  <c r="U292" i="11"/>
  <c r="U228" i="11"/>
  <c r="U227" i="11"/>
  <c r="U226" i="11"/>
  <c r="U225" i="11"/>
  <c r="U224" i="11"/>
  <c r="U223" i="11"/>
  <c r="U222" i="11"/>
  <c r="U221" i="11"/>
  <c r="U220" i="11"/>
  <c r="U219" i="11"/>
  <c r="U173" i="11"/>
  <c r="U175" i="11"/>
  <c r="U176" i="11"/>
  <c r="U177" i="11"/>
  <c r="U178" i="11"/>
  <c r="U172" i="11"/>
  <c r="V227" i="11"/>
  <c r="V226" i="11"/>
  <c r="V225" i="11"/>
  <c r="V223" i="11"/>
  <c r="V222" i="11"/>
  <c r="V221" i="11"/>
  <c r="V178" i="11"/>
  <c r="V177" i="11"/>
  <c r="V176" i="11"/>
  <c r="V175" i="11"/>
  <c r="V173" i="11"/>
  <c r="V172" i="11"/>
  <c r="F328" i="11"/>
  <c r="G328" i="11" s="1"/>
  <c r="T291" i="11" l="1"/>
  <c r="V169" i="11"/>
  <c r="V240" i="11"/>
  <c r="V197" i="11"/>
  <c r="T240" i="11"/>
  <c r="U240" i="11"/>
  <c r="S240" i="11"/>
  <c r="T197" i="11"/>
  <c r="V224" i="11"/>
  <c r="V228" i="11"/>
  <c r="V220" i="11"/>
  <c r="V219" i="11" s="1"/>
  <c r="T290" i="11" l="1"/>
  <c r="T278" i="11" s="1"/>
  <c r="F324" i="11"/>
  <c r="G324" i="11" s="1"/>
  <c r="S291" i="11"/>
  <c r="S290" i="11" s="1"/>
  <c r="S278" i="11" s="1"/>
  <c r="R332" i="11"/>
  <c r="Q332" i="11"/>
  <c r="P332" i="11"/>
  <c r="P305" i="11"/>
  <c r="P311" i="11"/>
  <c r="P312" i="11"/>
  <c r="P313" i="11"/>
  <c r="P314" i="11"/>
  <c r="P316" i="11"/>
  <c r="Q317" i="11"/>
  <c r="Q316" i="11"/>
  <c r="Q315" i="11"/>
  <c r="Q314" i="11"/>
  <c r="Q312" i="11"/>
  <c r="Q311" i="11"/>
  <c r="Q310" i="11"/>
  <c r="Q308" i="11"/>
  <c r="Q306" i="11"/>
  <c r="Q305" i="11"/>
  <c r="Q313" i="11"/>
  <c r="Q292" i="11"/>
  <c r="F292" i="11"/>
  <c r="G292" i="11" l="1"/>
  <c r="R291" i="11"/>
  <c r="R290" i="11" s="1"/>
  <c r="R278" i="11" s="1"/>
  <c r="Q291" i="11"/>
  <c r="Q290" i="11" s="1"/>
  <c r="Q278" i="11" s="1"/>
  <c r="P317" i="11"/>
  <c r="P291" i="11" s="1"/>
  <c r="G317" i="11"/>
  <c r="F315" i="11"/>
  <c r="G315" i="11" s="1"/>
  <c r="N242" i="11"/>
  <c r="R242" i="11" s="1"/>
  <c r="N246" i="11"/>
  <c r="P246" i="11" s="1"/>
  <c r="N245" i="11"/>
  <c r="P245" i="11" s="1"/>
  <c r="N247" i="11"/>
  <c r="R247" i="11" s="1"/>
  <c r="N241" i="11"/>
  <c r="P241" i="11" s="1"/>
  <c r="N230" i="11"/>
  <c r="P230" i="11" s="1"/>
  <c r="N231" i="11"/>
  <c r="P231" i="11" s="1"/>
  <c r="N232" i="11"/>
  <c r="P232" i="11" s="1"/>
  <c r="N233" i="11"/>
  <c r="P233" i="11" s="1"/>
  <c r="N234" i="11"/>
  <c r="P234" i="11" s="1"/>
  <c r="N235" i="11"/>
  <c r="P235" i="11" s="1"/>
  <c r="N226" i="11"/>
  <c r="P226" i="11" s="1"/>
  <c r="N227" i="11"/>
  <c r="P227" i="11" s="1"/>
  <c r="N222" i="11"/>
  <c r="P222" i="11" s="1"/>
  <c r="N223" i="11"/>
  <c r="P223" i="11" s="1"/>
  <c r="N199" i="11"/>
  <c r="P199" i="11" s="1"/>
  <c r="N200" i="11"/>
  <c r="P200" i="11" s="1"/>
  <c r="N205" i="11"/>
  <c r="P205" i="11" s="1"/>
  <c r="N206" i="11"/>
  <c r="R206" i="11" s="1"/>
  <c r="N209" i="11"/>
  <c r="S209" i="11" s="1"/>
  <c r="N210" i="11"/>
  <c r="P210" i="11" s="1"/>
  <c r="N211" i="11"/>
  <c r="R211" i="11" s="1"/>
  <c r="N214" i="11"/>
  <c r="S214" i="11" s="1"/>
  <c r="N215" i="11"/>
  <c r="P215" i="11" s="1"/>
  <c r="N216" i="11"/>
  <c r="P216" i="11" s="1"/>
  <c r="N217" i="11"/>
  <c r="P217" i="11" s="1"/>
  <c r="N218" i="11"/>
  <c r="P218" i="11" s="1"/>
  <c r="N221" i="11"/>
  <c r="N225" i="11"/>
  <c r="P225" i="11" s="1"/>
  <c r="N182" i="11"/>
  <c r="P182" i="11" s="1"/>
  <c r="N183" i="11"/>
  <c r="P183" i="11" s="1"/>
  <c r="N187" i="11"/>
  <c r="P187" i="11" s="1"/>
  <c r="N189" i="11"/>
  <c r="P189" i="11" s="1"/>
  <c r="N192" i="11"/>
  <c r="R192" i="11" s="1"/>
  <c r="N196" i="11"/>
  <c r="R196" i="11" s="1"/>
  <c r="N181" i="11"/>
  <c r="R181" i="11" s="1"/>
  <c r="N229" i="11"/>
  <c r="P229" i="11" s="1"/>
  <c r="R227" i="11"/>
  <c r="Q227" i="11"/>
  <c r="R226" i="11"/>
  <c r="Q226" i="11"/>
  <c r="R225" i="11"/>
  <c r="Q225" i="11"/>
  <c r="R223" i="11"/>
  <c r="Q223" i="11"/>
  <c r="R222" i="11"/>
  <c r="Q222" i="11"/>
  <c r="R221" i="11"/>
  <c r="Q221" i="11"/>
  <c r="Q173" i="11"/>
  <c r="R173" i="11"/>
  <c r="Q175" i="11"/>
  <c r="R175" i="11"/>
  <c r="Q176" i="11"/>
  <c r="R176" i="11"/>
  <c r="Q177" i="11"/>
  <c r="R177" i="11"/>
  <c r="R178" i="11"/>
  <c r="N198" i="11"/>
  <c r="P198" i="11" s="1"/>
  <c r="K17" i="8" l="1"/>
  <c r="T169" i="11"/>
  <c r="T168" i="11" s="1"/>
  <c r="P197" i="11"/>
  <c r="N197" i="11"/>
  <c r="N240" i="11"/>
  <c r="R240" i="11"/>
  <c r="U197" i="11"/>
  <c r="F304" i="11"/>
  <c r="G304" i="11" s="1"/>
  <c r="F310" i="11"/>
  <c r="G310" i="11" s="1"/>
  <c r="R224" i="11"/>
  <c r="Q224" i="11"/>
  <c r="R220" i="11"/>
  <c r="Q228" i="11"/>
  <c r="Q220" i="11"/>
  <c r="U169" i="11"/>
  <c r="R228" i="11"/>
  <c r="Q240" i="11"/>
  <c r="N220" i="11"/>
  <c r="P228" i="11"/>
  <c r="N224" i="11"/>
  <c r="P224" i="11"/>
  <c r="P221" i="11"/>
  <c r="P220" i="11" s="1"/>
  <c r="S197" i="11"/>
  <c r="T5" i="11" l="1"/>
  <c r="T1" i="11" s="1"/>
  <c r="P240" i="11"/>
  <c r="Q197" i="11"/>
  <c r="V168" i="11"/>
  <c r="U168" i="11"/>
  <c r="U5" i="11" s="1"/>
  <c r="Q219" i="11"/>
  <c r="R219" i="11"/>
  <c r="P219" i="11"/>
  <c r="R197" i="11"/>
  <c r="N179" i="11" l="1"/>
  <c r="P179" i="11" s="1"/>
  <c r="N178" i="11"/>
  <c r="P178" i="11" s="1"/>
  <c r="N180" i="11"/>
  <c r="R180" i="11" s="1"/>
  <c r="R172" i="11"/>
  <c r="Q172" i="11"/>
  <c r="S169" i="11" l="1"/>
  <c r="S168" i="11" s="1"/>
  <c r="R169" i="11"/>
  <c r="S5" i="11" l="1"/>
  <c r="S1" i="11" s="1"/>
  <c r="R168" i="11"/>
  <c r="R5" i="11" s="1"/>
  <c r="N173" i="11"/>
  <c r="P173" i="11" s="1"/>
  <c r="N175" i="11"/>
  <c r="P175" i="11" s="1"/>
  <c r="N176" i="11"/>
  <c r="P176" i="11" s="1"/>
  <c r="N177" i="11"/>
  <c r="P177" i="11" s="1"/>
  <c r="N172" i="11"/>
  <c r="G170" i="11"/>
  <c r="G171" i="11"/>
  <c r="G268" i="11"/>
  <c r="R1" i="11" l="1"/>
  <c r="Q169" i="11"/>
  <c r="Q168" i="11" s="1"/>
  <c r="Q5" i="11" s="1"/>
  <c r="N169" i="11"/>
  <c r="P172" i="11"/>
  <c r="P169" i="11" s="1"/>
  <c r="P168" i="11" s="1"/>
  <c r="Q1" i="11" l="1"/>
  <c r="P167" i="11"/>
  <c r="P351" i="11"/>
  <c r="P350" i="11"/>
  <c r="P348" i="11"/>
  <c r="P349" i="11"/>
  <c r="W337" i="11"/>
  <c r="P281" i="11"/>
  <c r="P280" i="11" s="1"/>
  <c r="P279" i="11" s="1"/>
  <c r="P347" i="11" l="1"/>
  <c r="V336" i="11"/>
  <c r="V335" i="11" l="1"/>
  <c r="V334" i="11" s="1"/>
  <c r="V5" i="11" s="1"/>
  <c r="V1" i="11" s="1"/>
  <c r="W336" i="11"/>
  <c r="W5" i="11" s="1"/>
  <c r="G283" i="11"/>
  <c r="F279" i="11" l="1"/>
  <c r="M32" i="7" s="1"/>
  <c r="F13" i="7"/>
  <c r="G13" i="7" s="1"/>
  <c r="G279" i="11" l="1"/>
  <c r="K22" i="8"/>
  <c r="K20" i="8"/>
  <c r="L20" i="8" s="1"/>
  <c r="L19" i="8" s="1"/>
  <c r="F346" i="11"/>
  <c r="G346" i="11" s="1"/>
  <c r="K19" i="8" l="1"/>
  <c r="L22" i="8"/>
  <c r="K21" i="8"/>
  <c r="F345" i="11"/>
  <c r="G345" i="11" s="1"/>
  <c r="G173" i="10" l="1"/>
  <c r="G174" i="10"/>
  <c r="G217" i="10" l="1"/>
  <c r="G216" i="10"/>
  <c r="F26" i="7" l="1"/>
  <c r="G26" i="7" s="1"/>
  <c r="G24" i="7" s="1"/>
  <c r="F24" i="7" l="1"/>
  <c r="F23" i="7" s="1"/>
  <c r="E14" i="8" s="1"/>
  <c r="F14" i="8" s="1"/>
  <c r="N153" i="10"/>
  <c r="F153" i="10" l="1"/>
  <c r="G153" i="10" s="1"/>
  <c r="E29" i="7"/>
  <c r="E28" i="7" s="1"/>
  <c r="E27" i="7" s="1"/>
  <c r="D16" i="8" s="1"/>
  <c r="E13" i="8"/>
  <c r="F13" i="8" s="1"/>
  <c r="D15" i="8" l="1"/>
  <c r="E18" i="7"/>
  <c r="F18" i="7"/>
  <c r="N142" i="11"/>
  <c r="F107" i="11"/>
  <c r="G107" i="11" s="1"/>
  <c r="F87" i="11"/>
  <c r="G87" i="11" s="1"/>
  <c r="F59" i="11"/>
  <c r="G59" i="11" s="1"/>
  <c r="F40" i="11"/>
  <c r="N138" i="11"/>
  <c r="N39" i="11" s="1"/>
  <c r="G18" i="7" l="1"/>
  <c r="G40" i="11"/>
  <c r="F142" i="11"/>
  <c r="F138" i="11"/>
  <c r="G138" i="11" s="1"/>
  <c r="J19" i="8"/>
  <c r="I19" i="8"/>
  <c r="M14" i="7" l="1"/>
  <c r="G142" i="11"/>
  <c r="L13" i="7"/>
  <c r="E168" i="12" l="1"/>
  <c r="G168" i="12" s="1"/>
  <c r="E167" i="12"/>
  <c r="G167" i="12" s="1"/>
  <c r="K166" i="12"/>
  <c r="E166" i="12" s="1"/>
  <c r="G166" i="12" s="1"/>
  <c r="E165" i="12"/>
  <c r="G165" i="12" s="1"/>
  <c r="K164" i="12"/>
  <c r="E164" i="12" s="1"/>
  <c r="G164" i="12" s="1"/>
  <c r="K163" i="12"/>
  <c r="K162" i="12" s="1"/>
  <c r="D163" i="12"/>
  <c r="D162" i="12"/>
  <c r="G161" i="12"/>
  <c r="G160" i="12"/>
  <c r="E159" i="12"/>
  <c r="G159" i="12" s="1"/>
  <c r="E158" i="12"/>
  <c r="G158" i="12" s="1"/>
  <c r="E157" i="12"/>
  <c r="G157" i="12" s="1"/>
  <c r="K156" i="12"/>
  <c r="K155" i="12" s="1"/>
  <c r="D156" i="12"/>
  <c r="D155" i="12" s="1"/>
  <c r="E152" i="12"/>
  <c r="G152" i="12" s="1"/>
  <c r="E151" i="12"/>
  <c r="G151" i="12" s="1"/>
  <c r="K150" i="12"/>
  <c r="K149" i="12" s="1"/>
  <c r="D150" i="12"/>
  <c r="D149" i="12" s="1"/>
  <c r="E147" i="12"/>
  <c r="E146" i="12" s="1"/>
  <c r="E145" i="12" s="1"/>
  <c r="K146" i="12"/>
  <c r="K145" i="12" s="1"/>
  <c r="D146" i="12"/>
  <c r="D145" i="12" s="1"/>
  <c r="K140" i="12"/>
  <c r="K138" i="12"/>
  <c r="K136" i="12"/>
  <c r="K133" i="12"/>
  <c r="E133" i="12" s="1"/>
  <c r="G133" i="12" s="1"/>
  <c r="K127" i="12"/>
  <c r="E127" i="12" s="1"/>
  <c r="G127" i="12" s="1"/>
  <c r="K125" i="12"/>
  <c r="E125" i="12" s="1"/>
  <c r="G125" i="12" s="1"/>
  <c r="K122" i="12"/>
  <c r="K120" i="12" s="1"/>
  <c r="E120" i="12" s="1"/>
  <c r="G120" i="12" s="1"/>
  <c r="K102" i="12"/>
  <c r="E102" i="12" s="1"/>
  <c r="G102" i="12" s="1"/>
  <c r="K99" i="12"/>
  <c r="E99" i="12" s="1"/>
  <c r="G99" i="12" s="1"/>
  <c r="K97" i="12"/>
  <c r="E97" i="12" s="1"/>
  <c r="G97" i="12" s="1"/>
  <c r="K80" i="12"/>
  <c r="E80" i="12" s="1"/>
  <c r="G80" i="12" s="1"/>
  <c r="K67" i="12"/>
  <c r="E67" i="12" s="1"/>
  <c r="G67" i="12" s="1"/>
  <c r="K50" i="12"/>
  <c r="E50" i="12" s="1"/>
  <c r="G50" i="12" s="1"/>
  <c r="K32" i="12"/>
  <c r="E32" i="12" s="1"/>
  <c r="G32" i="12" s="1"/>
  <c r="D31" i="12"/>
  <c r="D11" i="12" s="1"/>
  <c r="D10" i="12" s="1"/>
  <c r="K13" i="12"/>
  <c r="E12" i="12" s="1"/>
  <c r="G12" i="12" s="1"/>
  <c r="E9" i="12"/>
  <c r="G9" i="12" s="1"/>
  <c r="E8" i="12"/>
  <c r="G8" i="12" s="1"/>
  <c r="K7" i="12"/>
  <c r="K6" i="12" s="1"/>
  <c r="E7" i="12"/>
  <c r="D7" i="12"/>
  <c r="D6" i="12" s="1"/>
  <c r="G145" i="12" l="1"/>
  <c r="G147" i="12"/>
  <c r="G7" i="12"/>
  <c r="D5" i="12"/>
  <c r="K135" i="12"/>
  <c r="E135" i="12" s="1"/>
  <c r="G135" i="12" s="1"/>
  <c r="G146" i="12"/>
  <c r="E6" i="12"/>
  <c r="G6" i="12" s="1"/>
  <c r="K31" i="12"/>
  <c r="E150" i="12"/>
  <c r="E156" i="12"/>
  <c r="E163" i="12"/>
  <c r="G156" i="12" l="1"/>
  <c r="E155" i="12"/>
  <c r="G155" i="12" s="1"/>
  <c r="G150" i="12"/>
  <c r="E149" i="12"/>
  <c r="G149" i="12" s="1"/>
  <c r="K11" i="12"/>
  <c r="K10" i="12" s="1"/>
  <c r="K5" i="12" s="1"/>
  <c r="K12" i="12"/>
  <c r="E31" i="12"/>
  <c r="G163" i="12"/>
  <c r="E162" i="12"/>
  <c r="G162" i="12" s="1"/>
  <c r="E11" i="12" l="1"/>
  <c r="G31" i="12"/>
  <c r="G11" i="12" l="1"/>
  <c r="E10" i="12"/>
  <c r="E5" i="12" l="1"/>
  <c r="G5" i="12" s="1"/>
  <c r="G10" i="12"/>
  <c r="K28" i="7" l="1"/>
  <c r="K27" i="7" s="1"/>
  <c r="K20" i="7"/>
  <c r="K19" i="7"/>
  <c r="K18" i="7"/>
  <c r="K17" i="7"/>
  <c r="K15" i="7"/>
  <c r="K14" i="7"/>
  <c r="K16" i="7" l="1"/>
  <c r="I12" i="8" s="1"/>
  <c r="I22" i="8" l="1"/>
  <c r="N335" i="11"/>
  <c r="N334" i="11" s="1"/>
  <c r="N279" i="11"/>
  <c r="F240" i="11"/>
  <c r="G240" i="11" s="1"/>
  <c r="N228" i="11"/>
  <c r="F135" i="11"/>
  <c r="F8" i="11"/>
  <c r="G8" i="11" s="1"/>
  <c r="F39" i="11" l="1"/>
  <c r="G39" i="11" s="1"/>
  <c r="M13" i="7"/>
  <c r="N13" i="7" s="1"/>
  <c r="G135" i="11"/>
  <c r="N219" i="11"/>
  <c r="N168" i="11" s="1"/>
  <c r="F162" i="11"/>
  <c r="M20" i="7"/>
  <c r="I21" i="8"/>
  <c r="F197" i="11"/>
  <c r="G197" i="11" s="1"/>
  <c r="F169" i="11"/>
  <c r="G169" i="11" s="1"/>
  <c r="L14" i="7"/>
  <c r="N14" i="7" s="1"/>
  <c r="L18" i="7"/>
  <c r="L20" i="7"/>
  <c r="I17" i="8"/>
  <c r="L17" i="7"/>
  <c r="L12" i="7"/>
  <c r="N20" i="7" l="1"/>
  <c r="F7" i="11"/>
  <c r="G7" i="11" s="1"/>
  <c r="M15" i="7"/>
  <c r="G162" i="11"/>
  <c r="F219" i="11"/>
  <c r="L15" i="7"/>
  <c r="N8" i="11"/>
  <c r="M18" i="7"/>
  <c r="N18" i="7" s="1"/>
  <c r="M17" i="7"/>
  <c r="N17" i="7" s="1"/>
  <c r="M12" i="7"/>
  <c r="N12" i="7" s="1"/>
  <c r="M19" i="7"/>
  <c r="J17" i="8"/>
  <c r="N15" i="7" l="1"/>
  <c r="N11" i="7" s="1"/>
  <c r="N7" i="11"/>
  <c r="F168" i="11"/>
  <c r="G168" i="11" s="1"/>
  <c r="G219" i="11"/>
  <c r="L19" i="7"/>
  <c r="N19" i="7" s="1"/>
  <c r="L11" i="7"/>
  <c r="J10" i="8" s="1"/>
  <c r="M16" i="7"/>
  <c r="K12" i="8" s="1"/>
  <c r="P7" i="11" l="1"/>
  <c r="N6" i="11"/>
  <c r="F6" i="11"/>
  <c r="G6" i="11" s="1"/>
  <c r="N16" i="7"/>
  <c r="N10" i="7" s="1"/>
  <c r="L16" i="7"/>
  <c r="L10" i="7" l="1"/>
  <c r="J12" i="8"/>
  <c r="L12" i="8" s="1"/>
  <c r="N218" i="10" l="1"/>
  <c r="N210" i="10"/>
  <c r="N206" i="10"/>
  <c r="F206" i="10" s="1"/>
  <c r="G206" i="10" s="1"/>
  <c r="D206" i="10"/>
  <c r="F20" i="7"/>
  <c r="G20" i="7" s="1"/>
  <c r="N133" i="10"/>
  <c r="N131" i="10"/>
  <c r="N61" i="10"/>
  <c r="N13" i="10"/>
  <c r="D210" i="10" l="1"/>
  <c r="F12" i="10"/>
  <c r="G12" i="10" s="1"/>
  <c r="F61" i="10"/>
  <c r="G61" i="10" s="1"/>
  <c r="D205" i="10"/>
  <c r="D218" i="10"/>
  <c r="F133" i="10"/>
  <c r="G133" i="10" s="1"/>
  <c r="F131" i="10"/>
  <c r="G131" i="10" s="1"/>
  <c r="F107" i="10"/>
  <c r="G107" i="10" s="1"/>
  <c r="F19" i="7"/>
  <c r="G19" i="7" s="1"/>
  <c r="N42" i="10"/>
  <c r="N205" i="10"/>
  <c r="N183" i="10"/>
  <c r="F183" i="10" s="1"/>
  <c r="K149" i="9"/>
  <c r="K148" i="9"/>
  <c r="K147" i="9"/>
  <c r="K146" i="9"/>
  <c r="K145" i="9"/>
  <c r="J144" i="9"/>
  <c r="J143" i="9" s="1"/>
  <c r="I144" i="9"/>
  <c r="I143" i="9" s="1"/>
  <c r="H144" i="9"/>
  <c r="H143" i="9" s="1"/>
  <c r="G144" i="9"/>
  <c r="K142" i="9"/>
  <c r="K140" i="9" s="1"/>
  <c r="K139" i="9" s="1"/>
  <c r="J140" i="9"/>
  <c r="J139" i="9" s="1"/>
  <c r="K138" i="9"/>
  <c r="K137" i="9"/>
  <c r="K136" i="9"/>
  <c r="I135" i="9"/>
  <c r="K135" i="9" s="1"/>
  <c r="K134" i="9"/>
  <c r="K133" i="9"/>
  <c r="K132" i="9"/>
  <c r="K131" i="9"/>
  <c r="I130" i="9"/>
  <c r="I129" i="9" s="1"/>
  <c r="I128" i="9" s="1"/>
  <c r="K126" i="9"/>
  <c r="K125" i="9" s="1"/>
  <c r="K124" i="9" s="1"/>
  <c r="H125" i="9"/>
  <c r="H124" i="9" s="1"/>
  <c r="K123" i="9"/>
  <c r="K122" i="9"/>
  <c r="K121" i="9"/>
  <c r="K120" i="9"/>
  <c r="G119" i="9"/>
  <c r="K118" i="9"/>
  <c r="G117" i="9"/>
  <c r="K116" i="9"/>
  <c r="K115" i="9" s="1"/>
  <c r="G115" i="9"/>
  <c r="K113" i="9"/>
  <c r="K112" i="9" s="1"/>
  <c r="G112" i="9"/>
  <c r="K111" i="9"/>
  <c r="G110" i="9"/>
  <c r="K110" i="9" s="1"/>
  <c r="K109" i="9"/>
  <c r="G107" i="9"/>
  <c r="G106" i="9" s="1"/>
  <c r="K105" i="9"/>
  <c r="K104" i="9"/>
  <c r="K103" i="9"/>
  <c r="K102" i="9"/>
  <c r="G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G84" i="9"/>
  <c r="K84" i="9" s="1"/>
  <c r="K83" i="9"/>
  <c r="K82" i="9"/>
  <c r="G81" i="9"/>
  <c r="G80" i="9"/>
  <c r="G79" i="9" s="1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G63" i="9"/>
  <c r="K62" i="9"/>
  <c r="K61" i="9"/>
  <c r="K60" i="9"/>
  <c r="K59" i="9"/>
  <c r="K58" i="9"/>
  <c r="K57" i="9"/>
  <c r="K56" i="9"/>
  <c r="K55" i="9"/>
  <c r="K54" i="9"/>
  <c r="K53" i="9"/>
  <c r="K52" i="9"/>
  <c r="K51" i="9"/>
  <c r="G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G34" i="9"/>
  <c r="K33" i="9"/>
  <c r="K32" i="9" s="1"/>
  <c r="G32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G14" i="9"/>
  <c r="K9" i="9"/>
  <c r="K8" i="9"/>
  <c r="J7" i="9"/>
  <c r="J6" i="9" s="1"/>
  <c r="G114" i="9" l="1"/>
  <c r="K81" i="9"/>
  <c r="N11" i="10"/>
  <c r="N10" i="10" s="1"/>
  <c r="D5" i="10"/>
  <c r="K14" i="9"/>
  <c r="K101" i="9"/>
  <c r="K119" i="9"/>
  <c r="K108" i="9"/>
  <c r="H5" i="9"/>
  <c r="K50" i="9"/>
  <c r="G183" i="10"/>
  <c r="D29" i="7"/>
  <c r="F205" i="10"/>
  <c r="N12" i="10"/>
  <c r="F42" i="10"/>
  <c r="G42" i="10" s="1"/>
  <c r="F16" i="7"/>
  <c r="F21" i="7"/>
  <c r="G21" i="7" s="1"/>
  <c r="F17" i="7"/>
  <c r="G17" i="7" s="1"/>
  <c r="K63" i="9"/>
  <c r="K130" i="9"/>
  <c r="K7" i="9"/>
  <c r="G31" i="9"/>
  <c r="G13" i="9" s="1"/>
  <c r="G12" i="9" s="1"/>
  <c r="K34" i="9"/>
  <c r="K144" i="9"/>
  <c r="D253" i="10"/>
  <c r="K128" i="9"/>
  <c r="I5" i="9"/>
  <c r="J5" i="9"/>
  <c r="K6" i="9"/>
  <c r="K80" i="9"/>
  <c r="K79" i="9" s="1"/>
  <c r="K117" i="9"/>
  <c r="K114" i="9" s="1"/>
  <c r="K107" i="9"/>
  <c r="K106" i="9" s="1"/>
  <c r="K129" i="9"/>
  <c r="G108" i="9"/>
  <c r="G143" i="9"/>
  <c r="K143" i="9" s="1"/>
  <c r="F29" i="7" l="1"/>
  <c r="G29" i="7" s="1"/>
  <c r="G205" i="10"/>
  <c r="K31" i="9"/>
  <c r="K13" i="9" s="1"/>
  <c r="F11" i="10"/>
  <c r="E16" i="7"/>
  <c r="G16" i="7" s="1"/>
  <c r="E22" i="7"/>
  <c r="D28" i="7"/>
  <c r="D27" i="7" s="1"/>
  <c r="C16" i="8" s="1"/>
  <c r="E16" i="8"/>
  <c r="F16" i="8" s="1"/>
  <c r="G28" i="7"/>
  <c r="G27" i="7" s="1"/>
  <c r="G23" i="7" s="1"/>
  <c r="F28" i="7"/>
  <c r="F27" i="7" s="1"/>
  <c r="F22" i="7"/>
  <c r="G22" i="7" s="1"/>
  <c r="K12" i="9"/>
  <c r="G11" i="9"/>
  <c r="F10" i="10" l="1"/>
  <c r="G10" i="10" s="1"/>
  <c r="G11" i="10"/>
  <c r="G15" i="7"/>
  <c r="E15" i="8"/>
  <c r="F15" i="8" s="1"/>
  <c r="F15" i="7"/>
  <c r="G10" i="9"/>
  <c r="K11" i="9"/>
  <c r="M11" i="7"/>
  <c r="E11" i="7"/>
  <c r="J15" i="8" l="1"/>
  <c r="E15" i="7"/>
  <c r="E14" i="7" s="1"/>
  <c r="D12" i="8" s="1"/>
  <c r="M10" i="7"/>
  <c r="K10" i="8"/>
  <c r="L10" i="8" s="1"/>
  <c r="F14" i="7"/>
  <c r="E12" i="8"/>
  <c r="F12" i="8" s="1"/>
  <c r="E10" i="7"/>
  <c r="K10" i="9"/>
  <c r="G5" i="9"/>
  <c r="K5" i="9" s="1"/>
  <c r="D11" i="7"/>
  <c r="K11" i="7"/>
  <c r="G14" i="7"/>
  <c r="D10" i="8" l="1"/>
  <c r="D9" i="8" s="1"/>
  <c r="E9" i="7"/>
  <c r="I10" i="8"/>
  <c r="D11" i="8"/>
  <c r="K9" i="8"/>
  <c r="M26" i="7"/>
  <c r="K14" i="8" s="1"/>
  <c r="E11" i="8"/>
  <c r="F11" i="8" s="1"/>
  <c r="K10" i="7"/>
  <c r="C19" i="8"/>
  <c r="D10" i="7"/>
  <c r="C10" i="8" l="1"/>
  <c r="C9" i="8" s="1"/>
  <c r="K13" i="8"/>
  <c r="J9" i="8"/>
  <c r="C17" i="8"/>
  <c r="I9" i="8" l="1"/>
  <c r="L9" i="8"/>
  <c r="D14" i="7" l="1"/>
  <c r="C15" i="8"/>
  <c r="C12" i="8" l="1"/>
  <c r="D9" i="7"/>
  <c r="D62" i="7" s="1"/>
  <c r="C11" i="8" l="1"/>
  <c r="N225" i="10"/>
  <c r="C8" i="8" l="1"/>
  <c r="E62" i="7" l="1"/>
  <c r="D8" i="8" l="1"/>
  <c r="N347" i="11" l="1"/>
  <c r="N346" i="11" s="1"/>
  <c r="N345" i="11" s="1"/>
  <c r="L21" i="8" l="1"/>
  <c r="J21" i="8"/>
  <c r="N265" i="11" l="1"/>
  <c r="L28" i="7" l="1"/>
  <c r="N28" i="7" s="1"/>
  <c r="P290" i="11" l="1"/>
  <c r="P278" i="11" s="1"/>
  <c r="N275" i="11" l="1"/>
  <c r="N264" i="11" s="1"/>
  <c r="P263" i="11" l="1"/>
  <c r="P5" i="11" s="1"/>
  <c r="N263" i="11"/>
  <c r="F264" i="11"/>
  <c r="G264" i="11" s="1"/>
  <c r="P1" i="11" l="1"/>
  <c r="L30" i="7"/>
  <c r="N30" i="7" s="1"/>
  <c r="F263" i="11"/>
  <c r="G263" i="11" l="1"/>
  <c r="N27" i="7"/>
  <c r="N26" i="7" s="1"/>
  <c r="L27" i="7"/>
  <c r="L26" i="7" l="1"/>
  <c r="L9" i="7" s="1"/>
  <c r="J14" i="8" l="1"/>
  <c r="L62" i="7"/>
  <c r="J13" i="8" l="1"/>
  <c r="J8" i="8" s="1"/>
  <c r="L14" i="8"/>
  <c r="K26" i="7"/>
  <c r="I14" i="8" l="1"/>
  <c r="L13" i="8" s="1"/>
  <c r="I13" i="8" l="1"/>
  <c r="I8" i="8" s="1"/>
  <c r="E24" i="1"/>
  <c r="E10" i="1" s="1"/>
  <c r="N7" i="10" l="1"/>
  <c r="N6" i="10" s="1"/>
  <c r="N5" i="10" s="1"/>
  <c r="F8" i="10"/>
  <c r="F7" i="10" s="1"/>
  <c r="F12" i="7" l="1"/>
  <c r="F6" i="10"/>
  <c r="F5" i="10" s="1"/>
  <c r="G7" i="10"/>
  <c r="F11" i="7" l="1"/>
  <c r="G12" i="7"/>
  <c r="G11" i="7" s="1"/>
  <c r="G10" i="7" s="1"/>
  <c r="G9" i="7" s="1"/>
  <c r="G5" i="10"/>
  <c r="G6" i="10"/>
  <c r="N321" i="11"/>
  <c r="U321" i="11" s="1"/>
  <c r="U291" i="11" s="1"/>
  <c r="U290" i="11" s="1"/>
  <c r="U278" i="11" s="1"/>
  <c r="F10" i="7" l="1"/>
  <c r="E10" i="8"/>
  <c r="G321" i="11"/>
  <c r="N320" i="11"/>
  <c r="U1" i="11"/>
  <c r="O5" i="11"/>
  <c r="O2" i="11" s="1"/>
  <c r="N291" i="11" l="1"/>
  <c r="N290" i="11" s="1"/>
  <c r="N278" i="11" s="1"/>
  <c r="N5" i="11" s="1"/>
  <c r="F320" i="11"/>
  <c r="E9" i="8"/>
  <c r="F10" i="8"/>
  <c r="F9" i="7"/>
  <c r="F62" i="7" s="1"/>
  <c r="G62" i="7" s="1"/>
  <c r="I320" i="11"/>
  <c r="F291" i="11" l="1"/>
  <c r="G320" i="11"/>
  <c r="E8" i="8"/>
  <c r="F9" i="8"/>
  <c r="F8" i="8" s="1"/>
  <c r="K9" i="7"/>
  <c r="K62" i="7" s="1"/>
  <c r="G291" i="11" l="1"/>
  <c r="F290" i="11"/>
  <c r="M37" i="7" l="1"/>
  <c r="G290" i="11"/>
  <c r="F278" i="11"/>
  <c r="F5" i="11" l="1"/>
  <c r="G5" i="11" s="1"/>
  <c r="G278" i="11"/>
  <c r="M36" i="7"/>
  <c r="M31" i="7" s="1"/>
  <c r="N37" i="7"/>
  <c r="N36" i="7" s="1"/>
  <c r="N31" i="7" s="1"/>
  <c r="N9" i="7" s="1"/>
  <c r="M9" i="7" l="1"/>
  <c r="M62" i="7" s="1"/>
  <c r="N62" i="7" s="1"/>
  <c r="K16" i="8"/>
  <c r="L16" i="8" l="1"/>
  <c r="L15" i="8" s="1"/>
  <c r="L8" i="8" s="1"/>
  <c r="K15" i="8"/>
  <c r="K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양평쉼터5</author>
  </authors>
  <commentList>
    <comment ref="A162" authorId="0" shapeId="0" xr:uid="{A2490B9A-4E40-42FB-9435-C7CD0D75EA7C}">
      <text>
        <r>
          <rPr>
            <b/>
            <sz val="9"/>
            <color indexed="81"/>
            <rFont val="돋움"/>
            <family val="3"/>
            <charset val="129"/>
          </rPr>
          <t>양평쉼터</t>
        </r>
        <r>
          <rPr>
            <b/>
            <sz val="9"/>
            <color indexed="81"/>
            <rFont val="Tahoma"/>
            <family val="2"/>
          </rPr>
          <t>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이월금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이월금대로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합산함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자금원별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자금원대로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보조금수입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보조금이월금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총계에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양평쉼터5</author>
  </authors>
  <commentList>
    <comment ref="A225" authorId="0" shapeId="0" xr:uid="{012789BA-9585-4B0D-B8EA-359A195F0D72}">
      <text>
        <r>
          <rPr>
            <b/>
            <sz val="9"/>
            <color indexed="81"/>
            <rFont val="돋움"/>
            <family val="3"/>
            <charset val="129"/>
          </rPr>
          <t>양평쉼터</t>
        </r>
        <r>
          <rPr>
            <b/>
            <sz val="9"/>
            <color indexed="81"/>
            <rFont val="Tahoma"/>
            <family val="2"/>
          </rPr>
          <t>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이월금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이월금대로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합산함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자금원별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자금원대로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보조금수입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보조금이월금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총계에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seyeon1113@gmail.com</author>
  </authors>
  <commentList>
    <comment ref="A2" authorId="0" shapeId="0" xr:uid="{0C3B2E87-EC2E-4FAD-B24C-F90ABEB38A0F}">
      <text>
        <r>
          <rPr>
            <b/>
            <sz val="12"/>
            <color indexed="81"/>
            <rFont val="Tahoma"/>
            <family val="2"/>
          </rPr>
          <t>2024</t>
        </r>
        <r>
          <rPr>
            <b/>
            <sz val="12"/>
            <color indexed="81"/>
            <rFont val="돋움"/>
            <family val="3"/>
            <charset val="129"/>
          </rPr>
          <t>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인건비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산출내역서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토대로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</t>
        </r>
      </text>
    </comment>
  </commentList>
</comments>
</file>

<file path=xl/sharedStrings.xml><?xml version="1.0" encoding="utf-8"?>
<sst xmlns="http://schemas.openxmlformats.org/spreadsheetml/2006/main" count="2533" uniqueCount="749">
  <si>
    <t>서울시립 양평쉼터 직원 보수일람표</t>
    <phoneticPr fontId="3" type="noConversion"/>
  </si>
  <si>
    <t>서울특별시립 양평쉼터</t>
    <phoneticPr fontId="3" type="noConversion"/>
  </si>
  <si>
    <t>호봉</t>
  </si>
  <si>
    <t>기본급</t>
    <phoneticPr fontId="3" type="noConversion"/>
  </si>
  <si>
    <t>급식비</t>
    <phoneticPr fontId="3" type="noConversion"/>
  </si>
  <si>
    <t>가족수당</t>
    <phoneticPr fontId="3" type="noConversion"/>
  </si>
  <si>
    <t>연장근로수당</t>
    <phoneticPr fontId="3" type="noConversion"/>
  </si>
  <si>
    <t>명절휴가비</t>
    <phoneticPr fontId="3" type="noConversion"/>
  </si>
  <si>
    <t>관리자수당</t>
    <phoneticPr fontId="3" type="noConversion"/>
  </si>
  <si>
    <t>복지포인트</t>
    <phoneticPr fontId="3" type="noConversion"/>
  </si>
  <si>
    <t>시설장</t>
    <phoneticPr fontId="3" type="noConversion"/>
  </si>
  <si>
    <t>김도진</t>
    <phoneticPr fontId="3" type="noConversion"/>
  </si>
  <si>
    <t>임선미</t>
    <phoneticPr fontId="3" type="noConversion"/>
  </si>
  <si>
    <t>서성범</t>
    <phoneticPr fontId="3" type="noConversion"/>
  </si>
  <si>
    <t>김민서</t>
    <phoneticPr fontId="3" type="noConversion"/>
  </si>
  <si>
    <t>이정훈</t>
    <phoneticPr fontId="3" type="noConversion"/>
  </si>
  <si>
    <t>이성준</t>
    <phoneticPr fontId="3" type="noConversion"/>
  </si>
  <si>
    <t>정영호</t>
    <phoneticPr fontId="3" type="noConversion"/>
  </si>
  <si>
    <t>김기수</t>
    <phoneticPr fontId="3" type="noConversion"/>
  </si>
  <si>
    <t>이세연</t>
    <phoneticPr fontId="3" type="noConversion"/>
  </si>
  <si>
    <t>손영수</t>
    <phoneticPr fontId="3" type="noConversion"/>
  </si>
  <si>
    <t>김진영</t>
    <phoneticPr fontId="3" type="noConversion"/>
  </si>
  <si>
    <t>김명선</t>
    <phoneticPr fontId="3" type="noConversion"/>
  </si>
  <si>
    <t>이승연</t>
    <phoneticPr fontId="3" type="noConversion"/>
  </si>
  <si>
    <t>정태임</t>
    <phoneticPr fontId="3" type="noConversion"/>
  </si>
  <si>
    <t>사회보장비</t>
    <phoneticPr fontId="3" type="noConversion"/>
  </si>
  <si>
    <t>인쇄 및 유인물</t>
    <phoneticPr fontId="3" type="noConversion"/>
  </si>
  <si>
    <t>ㅇㅇㅇ</t>
  </si>
  <si>
    <t>ㅇㅇㅇ</t>
    <phoneticPr fontId="3" type="noConversion"/>
  </si>
  <si>
    <t xml:space="preserve">    서울특별시립 양평쉼터</t>
    <phoneticPr fontId="18" type="noConversion"/>
  </si>
  <si>
    <t>세입예산서</t>
    <phoneticPr fontId="3" type="noConversion"/>
  </si>
  <si>
    <t>과        목</t>
    <phoneticPr fontId="3" type="noConversion"/>
  </si>
  <si>
    <t>산   출   기   초</t>
    <phoneticPr fontId="3" type="noConversion"/>
  </si>
  <si>
    <t>보조금</t>
    <phoneticPr fontId="3" type="noConversion"/>
  </si>
  <si>
    <t>전입금</t>
    <phoneticPr fontId="3" type="noConversion"/>
  </si>
  <si>
    <t>후원금</t>
    <phoneticPr fontId="3" type="noConversion"/>
  </si>
  <si>
    <t>잡수입</t>
    <phoneticPr fontId="3" type="noConversion"/>
  </si>
  <si>
    <t>합계</t>
    <phoneticPr fontId="3" type="noConversion"/>
  </si>
  <si>
    <t>관</t>
    <phoneticPr fontId="3" type="noConversion"/>
  </si>
  <si>
    <t>항</t>
    <phoneticPr fontId="3" type="noConversion"/>
  </si>
  <si>
    <t>목</t>
    <phoneticPr fontId="3" type="noConversion"/>
  </si>
  <si>
    <t>합        계</t>
    <phoneticPr fontId="3" type="noConversion"/>
  </si>
  <si>
    <t>소 계</t>
    <phoneticPr fontId="3" type="noConversion"/>
  </si>
  <si>
    <t>시군구보조금</t>
    <phoneticPr fontId="3" type="noConversion"/>
  </si>
  <si>
    <t>인건비</t>
    <phoneticPr fontId="3" type="noConversion"/>
  </si>
  <si>
    <t>4,697,000
4,751,000</t>
    <phoneticPr fontId="3" type="noConversion"/>
  </si>
  <si>
    <t>*10개월= 46,970,000
*2개월=  9,502,000</t>
    <phoneticPr fontId="3" type="noConversion"/>
  </si>
  <si>
    <t>4,075,000
4,121,000</t>
    <phoneticPr fontId="3" type="noConversion"/>
  </si>
  <si>
    <t>*6개월= 24,450,000
*6개월= 24,726,000</t>
    <phoneticPr fontId="3" type="noConversion"/>
  </si>
  <si>
    <t>3,503,000
3,585,000</t>
    <phoneticPr fontId="3" type="noConversion"/>
  </si>
  <si>
    <t>*6개월= 21,018,000
*6개월= 21,354,000</t>
    <phoneticPr fontId="3" type="noConversion"/>
  </si>
  <si>
    <t>3,310,000
3,357,000</t>
    <phoneticPr fontId="3" type="noConversion"/>
  </si>
  <si>
    <t>*8개월= 26,480,000
*4개월= 13,428,000</t>
    <phoneticPr fontId="3" type="noConversion"/>
  </si>
  <si>
    <t>3,403,000
3,455,000</t>
    <phoneticPr fontId="3" type="noConversion"/>
  </si>
  <si>
    <t>*11개월= 37,433,000
*1개월= 3,455,000</t>
    <phoneticPr fontId="3" type="noConversion"/>
  </si>
  <si>
    <t>2,177,000
2,255,000</t>
    <phoneticPr fontId="3" type="noConversion"/>
  </si>
  <si>
    <t>*2개월= 4,354,000
*10개월= 22,550,000</t>
    <phoneticPr fontId="3" type="noConversion"/>
  </si>
  <si>
    <t>*12개월= 27,060,000</t>
    <phoneticPr fontId="3" type="noConversion"/>
  </si>
  <si>
    <t>2,325,000
2,408,000</t>
    <phoneticPr fontId="3" type="noConversion"/>
  </si>
  <si>
    <t>*3개월= 6,975,000
*9개월= 21,672,000</t>
    <phoneticPr fontId="3" type="noConversion"/>
  </si>
  <si>
    <t>2,081,000
2,177,000</t>
    <phoneticPr fontId="3" type="noConversion"/>
  </si>
  <si>
    <t>*11개월=22,891,000
*1개월= 2,177,000</t>
    <phoneticPr fontId="3" type="noConversion"/>
  </si>
  <si>
    <t>2,051,000
2,061,000</t>
    <phoneticPr fontId="3" type="noConversion"/>
  </si>
  <si>
    <t>*11개월=22,561,000
*1개월= 2,061,000</t>
    <phoneticPr fontId="3" type="noConversion"/>
  </si>
  <si>
    <t>2,288,000
2,373,000</t>
    <phoneticPr fontId="3" type="noConversion"/>
  </si>
  <si>
    <t>*4개월= 9,152,000
*8개월= 18,984,000</t>
    <phoneticPr fontId="3" type="noConversion"/>
  </si>
  <si>
    <t>*12개월= 30,828,000</t>
    <phoneticPr fontId="3" type="noConversion"/>
  </si>
  <si>
    <t>*5개월= 11,440,000
*7개월= 16,611,000</t>
    <phoneticPr fontId="3" type="noConversion"/>
  </si>
  <si>
    <t>2,324,000
2,395,000</t>
    <phoneticPr fontId="3" type="noConversion"/>
  </si>
  <si>
    <t>*6개월= 13,944,000
*6개월= 14,370,000</t>
    <phoneticPr fontId="3" type="noConversion"/>
  </si>
  <si>
    <t>100,000*15명*12개월</t>
    <phoneticPr fontId="3" type="noConversion"/>
  </si>
  <si>
    <t>*1/209*1.5*15*6=  2,696,760
*1/209*1.5*15*6=  2,726,460</t>
    <phoneticPr fontId="3" type="noConversion"/>
  </si>
  <si>
    <t>*1/209*1.5*15*6= 2,327,280  *1/209*1.5*15*6= 2,363,460</t>
    <phoneticPr fontId="3" type="noConversion"/>
  </si>
  <si>
    <t>*1/209*1.5*15*8=  2,936,800 
*1/209*1.5*15*4=  1,488,640</t>
    <phoneticPr fontId="3" type="noConversion"/>
  </si>
  <si>
    <t>*1/209*1.5*15*11= 4,148,210 
*1/209*1.5*15*1=     382,710</t>
    <phoneticPr fontId="3" type="noConversion"/>
  </si>
  <si>
    <t>*1/209*1.5*15*2=     490,260
*1/209*1.5*15*10= 2,535,200</t>
    <phoneticPr fontId="3" type="noConversion"/>
  </si>
  <si>
    <t>*1/209*1.5*15*12= 3,025,460</t>
    <phoneticPr fontId="3" type="noConversion"/>
  </si>
  <si>
    <t>*1/209*1.5*15*3=     783,180 
*1/209*1.5*15*9=   2,430,000</t>
    <phoneticPr fontId="3" type="noConversion"/>
  </si>
  <si>
    <t>*1/209*1.5*15*11= 2,582,690
*1/209*1.5*15*1=     245,130</t>
    <phoneticPr fontId="3" type="noConversion"/>
  </si>
  <si>
    <t>*1/209*1.5*15*11= 2,547,160
*1/209*1.5*15*1=     232,640</t>
    <phoneticPr fontId="3" type="noConversion"/>
  </si>
  <si>
    <t>*1/209*1.5*15*4=   1,028,320
*1/209*1.5*15*8=   2,129,840</t>
    <phoneticPr fontId="3" type="noConversion"/>
  </si>
  <si>
    <t>*1/209*1.5*15*12= 3,447,960</t>
    <phoneticPr fontId="3" type="noConversion"/>
  </si>
  <si>
    <t>*1/209*1.5*15*5=  1,285,400
*1/209*1.5*15*7=  1,863,610</t>
    <phoneticPr fontId="3" type="noConversion"/>
  </si>
  <si>
    <t>*1/209*1.5*15*6=  1,565,700
*1/209*1.5*15*6=  1,611,600</t>
    <phoneticPr fontId="3" type="noConversion"/>
  </si>
  <si>
    <t>가족수당20,000*2명*12개월=480,000</t>
    <phoneticPr fontId="3" type="noConversion"/>
  </si>
  <si>
    <t>배우자 40,000*1명*12개월=480,000
가족수당20,000*1명*12개월=240,000</t>
    <phoneticPr fontId="3" type="noConversion"/>
  </si>
  <si>
    <t>배우자 40,000*1명*12개월=480,000
가족수당20,000*3명*12개월=720,000
2자녀 수당 60,000*1명 *12개월=720,000</t>
    <phoneticPr fontId="3" type="noConversion"/>
  </si>
  <si>
    <t>배우자 40,000*1명*12개월=480,000</t>
    <phoneticPr fontId="3" type="noConversion"/>
  </si>
  <si>
    <t>가족수당20,000*1명*12개월=240,000</t>
    <phoneticPr fontId="3" type="noConversion"/>
  </si>
  <si>
    <t>배우자 40,000*1명*2개월=480,000</t>
    <phoneticPr fontId="3" type="noConversion"/>
  </si>
  <si>
    <t>*120%= 5,636,400</t>
    <phoneticPr fontId="3" type="noConversion"/>
  </si>
  <si>
    <t>*60%= 2,445,000
*60%= 2,472,600</t>
    <phoneticPr fontId="3" type="noConversion"/>
  </si>
  <si>
    <t>*60%= 2,101,800
*60%= 2,135,400</t>
    <phoneticPr fontId="3" type="noConversion"/>
  </si>
  <si>
    <t>*60%= 1,986,000
*60%= 2,041,800</t>
    <phoneticPr fontId="3" type="noConversion"/>
  </si>
  <si>
    <t>*120%= 4,083,600</t>
    <phoneticPr fontId="3" type="noConversion"/>
  </si>
  <si>
    <t>*60%= 1,306,200
*60%= 1,353,000</t>
    <phoneticPr fontId="3" type="noConversion"/>
  </si>
  <si>
    <t>*120%= 2,706,000</t>
    <phoneticPr fontId="3" type="noConversion"/>
  </si>
  <si>
    <t>*60%= 1,395,000
*60%= 1,444,800</t>
    <phoneticPr fontId="3" type="noConversion"/>
  </si>
  <si>
    <t>*120%= 2,497,200</t>
    <phoneticPr fontId="3" type="noConversion"/>
  </si>
  <si>
    <t>*120%= 2,461,200</t>
    <phoneticPr fontId="3" type="noConversion"/>
  </si>
  <si>
    <t>*60%= 1,372,800
*60%= 1,423,800</t>
    <phoneticPr fontId="3" type="noConversion"/>
  </si>
  <si>
    <t>*120%= 3,082,800</t>
    <phoneticPr fontId="3" type="noConversion"/>
  </si>
  <si>
    <t>*60%= 1,394,400
*60%= 1,437,000</t>
    <phoneticPr fontId="3" type="noConversion"/>
  </si>
  <si>
    <t>200,000*12개월=2,400,000</t>
    <phoneticPr fontId="3" type="noConversion"/>
  </si>
  <si>
    <t>복지포인트(10호봉이상)</t>
    <phoneticPr fontId="3" type="noConversion"/>
  </si>
  <si>
    <t>330,000 * 7 = 2,310,000</t>
    <phoneticPr fontId="3" type="noConversion"/>
  </si>
  <si>
    <t>복지포인트(10호봉미만)</t>
    <phoneticPr fontId="3" type="noConversion"/>
  </si>
  <si>
    <t>250,000 * 8 = 2,000,000</t>
    <phoneticPr fontId="3" type="noConversion"/>
  </si>
  <si>
    <t>퇴직충당금</t>
    <phoneticPr fontId="3" type="noConversion"/>
  </si>
  <si>
    <t>국민연금</t>
    <phoneticPr fontId="3" type="noConversion"/>
  </si>
  <si>
    <t>건강보험 및 장기요양보험</t>
    <phoneticPr fontId="3" type="noConversion"/>
  </si>
  <si>
    <t>고용보험</t>
    <phoneticPr fontId="3" type="noConversion"/>
  </si>
  <si>
    <t>산재보험</t>
    <phoneticPr fontId="3" type="noConversion"/>
  </si>
  <si>
    <t>생계비</t>
    <phoneticPr fontId="3" type="noConversion"/>
  </si>
  <si>
    <t>기능보강(서울시 기능보강사업비)</t>
    <phoneticPr fontId="3" type="noConversion"/>
  </si>
  <si>
    <t>서울시 지원 기능보강사업비</t>
    <phoneticPr fontId="3" type="noConversion"/>
  </si>
  <si>
    <t>사업비</t>
    <phoneticPr fontId="3" type="noConversion"/>
  </si>
  <si>
    <t>특별자활(소계)</t>
    <phoneticPr fontId="3" type="noConversion"/>
  </si>
  <si>
    <t>특별자활</t>
    <phoneticPr fontId="3" type="noConversion"/>
  </si>
  <si>
    <t>일자리갖기(소계)</t>
    <phoneticPr fontId="3" type="noConversion"/>
  </si>
  <si>
    <t>일자리갖기</t>
    <phoneticPr fontId="3" type="noConversion"/>
  </si>
  <si>
    <t>프로그램(소계)</t>
    <phoneticPr fontId="3" type="noConversion"/>
  </si>
  <si>
    <t>서울시 자활프로그램</t>
    <phoneticPr fontId="3" type="noConversion"/>
  </si>
  <si>
    <t>공동작업장 간식비</t>
    <phoneticPr fontId="3" type="noConversion"/>
  </si>
  <si>
    <t>설명절</t>
    <phoneticPr fontId="3" type="noConversion"/>
  </si>
  <si>
    <t>추석명절</t>
    <phoneticPr fontId="3" type="noConversion"/>
  </si>
  <si>
    <t>법인전입금</t>
    <phoneticPr fontId="3" type="noConversion"/>
  </si>
  <si>
    <t>냉, 난방비</t>
    <phoneticPr fontId="3" type="noConversion"/>
  </si>
  <si>
    <t>서울시일자리박람회</t>
    <phoneticPr fontId="3" type="noConversion"/>
  </si>
  <si>
    <t>기타잡수입</t>
    <phoneticPr fontId="3" type="noConversion"/>
  </si>
  <si>
    <t>이월금</t>
    <phoneticPr fontId="3" type="noConversion"/>
  </si>
  <si>
    <t>보조금이월금</t>
    <phoneticPr fontId="3" type="noConversion"/>
  </si>
  <si>
    <t>전입금 이월금</t>
    <phoneticPr fontId="3" type="noConversion"/>
  </si>
  <si>
    <t>법인전입금 이월사업비</t>
    <phoneticPr fontId="3" type="noConversion"/>
  </si>
  <si>
    <t>후원금 이월금</t>
    <phoneticPr fontId="3" type="noConversion"/>
  </si>
  <si>
    <t>잡수입 이월금</t>
    <phoneticPr fontId="3" type="noConversion"/>
  </si>
  <si>
    <t>2021년도 세입 예산서</t>
    <phoneticPr fontId="3" type="noConversion"/>
  </si>
  <si>
    <t>사업수입</t>
    <phoneticPr fontId="3" type="noConversion"/>
  </si>
  <si>
    <t>영농사업수입</t>
    <phoneticPr fontId="3" type="noConversion"/>
  </si>
  <si>
    <t>자판기사업수입</t>
    <phoneticPr fontId="3" type="noConversion"/>
  </si>
  <si>
    <t>김도진</t>
  </si>
  <si>
    <t>임선미</t>
  </si>
  <si>
    <t>서성범</t>
  </si>
  <si>
    <t>김민서</t>
  </si>
  <si>
    <t>이정훈</t>
  </si>
  <si>
    <t>이성준</t>
  </si>
  <si>
    <t>손영수</t>
  </si>
  <si>
    <t>정영호</t>
  </si>
  <si>
    <t>이세연</t>
  </si>
  <si>
    <t>김진영</t>
  </si>
  <si>
    <t>김명선</t>
  </si>
  <si>
    <t>이승연</t>
  </si>
  <si>
    <t>정태임</t>
  </si>
  <si>
    <t>임은옥</t>
  </si>
  <si>
    <t>2,061,000
2,071,000</t>
  </si>
  <si>
    <t>*10개월= 20,610,000
*2개월= 4,142,000</t>
  </si>
  <si>
    <t>*1/209*1.5*15*10= 2,326,400
*1/209*1.5*15*2=     467,440</t>
  </si>
  <si>
    <t>휴일급식비:2,500원*3식*113일*100명</t>
    <phoneticPr fontId="3" type="noConversion"/>
  </si>
  <si>
    <t>61,120*100*12개월</t>
    <phoneticPr fontId="3" type="noConversion"/>
  </si>
  <si>
    <t>급여</t>
    <phoneticPr fontId="3" type="noConversion"/>
  </si>
  <si>
    <t>제수당</t>
    <phoneticPr fontId="3" type="noConversion"/>
  </si>
  <si>
    <t>운영비(2020년 기준)</t>
    <phoneticPr fontId="3" type="noConversion"/>
  </si>
  <si>
    <t>사업수입이월금</t>
    <phoneticPr fontId="3" type="noConversion"/>
  </si>
  <si>
    <t>*8.33%= 5,748,640</t>
    <phoneticPr fontId="3" type="noConversion"/>
  </si>
  <si>
    <t>*8.33%= 5,308,920</t>
    <phoneticPr fontId="3" type="noConversion"/>
  </si>
  <si>
    <t>*8.33%= 4,651,740</t>
    <phoneticPr fontId="3" type="noConversion"/>
  </si>
  <si>
    <t>*8.33%= 4,364,230</t>
    <phoneticPr fontId="3" type="noConversion"/>
  </si>
  <si>
    <t>*8.33%= 4,387,820</t>
    <phoneticPr fontId="3" type="noConversion"/>
  </si>
  <si>
    <t>*8.33%= 3,010,480</t>
    <phoneticPr fontId="3" type="noConversion"/>
  </si>
  <si>
    <t>*8.33%= 3,147,360</t>
    <phoneticPr fontId="3" type="noConversion"/>
  </si>
  <si>
    <t>*8.33%= 3,145,930</t>
    <phoneticPr fontId="3" type="noConversion"/>
  </si>
  <si>
    <t>*8.33%= 2,651,170</t>
    <phoneticPr fontId="3" type="noConversion"/>
  </si>
  <si>
    <t>*8.33%= 2,785,070</t>
    <phoneticPr fontId="3" type="noConversion"/>
  </si>
  <si>
    <t>*8.33%= 3,197,040</t>
    <phoneticPr fontId="3" type="noConversion"/>
  </si>
  <si>
    <t>*8.33%= 3,358,720</t>
    <phoneticPr fontId="3" type="noConversion"/>
  </si>
  <si>
    <t>*8.33%= 3,096,620</t>
    <phoneticPr fontId="3" type="noConversion"/>
  </si>
  <si>
    <t>*8.33%= 3,145,700</t>
    <phoneticPr fontId="3" type="noConversion"/>
  </si>
  <si>
    <t>*8.33%= 2,740670</t>
    <phoneticPr fontId="3" type="noConversion"/>
  </si>
  <si>
    <t>*8.33%= 212,490</t>
    <phoneticPr fontId="3" type="noConversion"/>
  </si>
  <si>
    <t>659,258,040*4.5%=29,666,510</t>
    <phoneticPr fontId="3" type="noConversion"/>
  </si>
  <si>
    <t>659,258,040*3.35%=21,986,310
  21,986,310*10.25%=2,253,580</t>
    <phoneticPr fontId="3" type="noConversion"/>
  </si>
  <si>
    <t>659,258,040*0.8%=10,382,160</t>
    <phoneticPr fontId="3" type="noConversion"/>
  </si>
  <si>
    <t>659,258,040*0.79%,=4,907,990</t>
    <phoneticPr fontId="3" type="noConversion"/>
  </si>
  <si>
    <t>잡수입 전년도이월금(세외+잡수입1+직원중식비)</t>
    <phoneticPr fontId="3" type="noConversion"/>
  </si>
  <si>
    <t>사무비</t>
    <phoneticPr fontId="3" type="noConversion"/>
  </si>
  <si>
    <t>업무추진비</t>
    <phoneticPr fontId="3" type="noConversion"/>
  </si>
  <si>
    <t>기관운영비</t>
    <phoneticPr fontId="3" type="noConversion"/>
  </si>
  <si>
    <t>회의비</t>
    <phoneticPr fontId="3" type="noConversion"/>
  </si>
  <si>
    <t>운영비</t>
    <phoneticPr fontId="3" type="noConversion"/>
  </si>
  <si>
    <t>수용비및수수료</t>
    <phoneticPr fontId="3" type="noConversion"/>
  </si>
  <si>
    <t>공공요금</t>
    <phoneticPr fontId="3" type="noConversion"/>
  </si>
  <si>
    <t>제세공과금</t>
    <phoneticPr fontId="3" type="noConversion"/>
  </si>
  <si>
    <t>자동차보험</t>
    <phoneticPr fontId="3" type="noConversion"/>
  </si>
  <si>
    <t>기타 세금 및 수수료</t>
    <phoneticPr fontId="3" type="noConversion"/>
  </si>
  <si>
    <t>차량비</t>
    <phoneticPr fontId="3" type="noConversion"/>
  </si>
  <si>
    <t>기타운영비</t>
    <phoneticPr fontId="3" type="noConversion"/>
  </si>
  <si>
    <t>재산조성비</t>
    <phoneticPr fontId="3" type="noConversion"/>
  </si>
  <si>
    <t>시설비</t>
    <phoneticPr fontId="3" type="noConversion"/>
  </si>
  <si>
    <t>시설비(기능보강비)</t>
    <phoneticPr fontId="3" type="noConversion"/>
  </si>
  <si>
    <t>자산취득비</t>
    <phoneticPr fontId="3" type="noConversion"/>
  </si>
  <si>
    <t>수용기관경비</t>
    <phoneticPr fontId="3" type="noConversion"/>
  </si>
  <si>
    <t>의료비</t>
    <phoneticPr fontId="3" type="noConversion"/>
  </si>
  <si>
    <t>직원복리후생비</t>
    <phoneticPr fontId="3" type="noConversion"/>
  </si>
  <si>
    <t>주거지원사업</t>
    <phoneticPr fontId="3" type="noConversion"/>
  </si>
  <si>
    <t>잡지출</t>
    <phoneticPr fontId="3" type="noConversion"/>
  </si>
  <si>
    <t>반환금</t>
    <phoneticPr fontId="3" type="noConversion"/>
  </si>
  <si>
    <t>보조금수입</t>
    <phoneticPr fontId="3" type="noConversion"/>
  </si>
  <si>
    <t>후원금수입</t>
    <phoneticPr fontId="3" type="noConversion"/>
  </si>
  <si>
    <t>지정후원금</t>
    <phoneticPr fontId="3" type="noConversion"/>
  </si>
  <si>
    <t>비지정후원금</t>
    <phoneticPr fontId="3" type="noConversion"/>
  </si>
  <si>
    <t>CMS계좌후원금</t>
    <phoneticPr fontId="3" type="noConversion"/>
  </si>
  <si>
    <t>비지정계좌후원금</t>
    <phoneticPr fontId="3" type="noConversion"/>
  </si>
  <si>
    <t>사회복지시설실습</t>
    <phoneticPr fontId="3" type="noConversion"/>
  </si>
  <si>
    <t>소계</t>
    <phoneticPr fontId="3" type="noConversion"/>
  </si>
  <si>
    <t>종사자식대(15명? 16명?)</t>
    <phoneticPr fontId="3" type="noConversion"/>
  </si>
  <si>
    <t>영농사업</t>
    <phoneticPr fontId="3" type="noConversion"/>
  </si>
  <si>
    <t>상담사례관리지원</t>
    <phoneticPr fontId="3" type="noConversion"/>
  </si>
  <si>
    <t>후원관리사업비</t>
    <phoneticPr fontId="3" type="noConversion"/>
  </si>
  <si>
    <t>지역자원연계사업</t>
    <phoneticPr fontId="3" type="noConversion"/>
  </si>
  <si>
    <t>*1개월=2,203,000</t>
    <phoneticPr fontId="3" type="noConversion"/>
  </si>
  <si>
    <t>*1/209*1.5*15*1=     247,930</t>
    <phoneticPr fontId="3" type="noConversion"/>
  </si>
  <si>
    <t>서울특별시립 양평쉼터</t>
    <phoneticPr fontId="18" type="noConversion"/>
  </si>
  <si>
    <t>세입예산</t>
    <phoneticPr fontId="18" type="noConversion"/>
  </si>
  <si>
    <t>세출예산</t>
    <phoneticPr fontId="18" type="noConversion"/>
  </si>
  <si>
    <t>관</t>
    <phoneticPr fontId="18" type="noConversion"/>
  </si>
  <si>
    <t>항</t>
    <phoneticPr fontId="18" type="noConversion"/>
  </si>
  <si>
    <t>목</t>
    <phoneticPr fontId="18" type="noConversion"/>
  </si>
  <si>
    <t>본 예산</t>
    <phoneticPr fontId="3" type="noConversion"/>
  </si>
  <si>
    <t>1차 추경예산</t>
    <phoneticPr fontId="18" type="noConversion"/>
  </si>
  <si>
    <t>2차 추경예산</t>
    <phoneticPr fontId="3" type="noConversion"/>
  </si>
  <si>
    <t>증감</t>
    <phoneticPr fontId="3" type="noConversion"/>
  </si>
  <si>
    <t xml:space="preserve">관 </t>
    <phoneticPr fontId="18" type="noConversion"/>
  </si>
  <si>
    <t>총 계</t>
    <phoneticPr fontId="3" type="noConversion"/>
  </si>
  <si>
    <t>사업수익</t>
    <phoneticPr fontId="3" type="noConversion"/>
  </si>
  <si>
    <t>기능보강비</t>
    <phoneticPr fontId="3" type="noConversion"/>
  </si>
  <si>
    <t>전입금</t>
  </si>
  <si>
    <t>법인전입금</t>
  </si>
  <si>
    <t>잡수입</t>
  </si>
  <si>
    <t>예금이자수입</t>
  </si>
  <si>
    <t>전입금 이월금</t>
  </si>
  <si>
    <t>후원금 이월금</t>
  </si>
  <si>
    <t>잡수입 이월금</t>
  </si>
  <si>
    <t>총  계</t>
    <phoneticPr fontId="18" type="noConversion"/>
  </si>
  <si>
    <t>구분</t>
    <phoneticPr fontId="18" type="noConversion"/>
  </si>
  <si>
    <t>경상보조금</t>
    <phoneticPr fontId="3" type="noConversion"/>
  </si>
  <si>
    <t>과년도지출</t>
    <phoneticPr fontId="3" type="noConversion"/>
  </si>
  <si>
    <t>반납금</t>
    <phoneticPr fontId="3" type="noConversion"/>
  </si>
  <si>
    <t>영농5,000,000원 자판기 500,000원</t>
    <phoneticPr fontId="3" type="noConversion"/>
  </si>
  <si>
    <t>후원금 이월금(난방비1,200,000,비지정7,000,000,cms800,000)</t>
    <phoneticPr fontId="3" type="noConversion"/>
  </si>
  <si>
    <t>보조금전년도이월금(기존액8,692,988+추정액44,642,000)</t>
    <phoneticPr fontId="3" type="noConversion"/>
  </si>
  <si>
    <t>직원중식비</t>
    <phoneticPr fontId="3" type="noConversion"/>
  </si>
  <si>
    <t>급식비:2,500원*2식*252일*100명</t>
    <phoneticPr fontId="3" type="noConversion"/>
  </si>
  <si>
    <t>평일중식비:2,500원*1식*252일*100명*30%</t>
    <phoneticPr fontId="3" type="noConversion"/>
  </si>
  <si>
    <t>공동작업장 간식비 10명*30,000원*12개월</t>
    <phoneticPr fontId="3" type="noConversion"/>
  </si>
  <si>
    <t>세입추경예산서</t>
    <phoneticPr fontId="3" type="noConversion"/>
  </si>
  <si>
    <t>당초(A)</t>
    <phoneticPr fontId="3" type="noConversion"/>
  </si>
  <si>
    <t>추경1(B)</t>
    <phoneticPr fontId="3" type="noConversion"/>
  </si>
  <si>
    <t>추경2(C)</t>
    <phoneticPr fontId="3" type="noConversion"/>
  </si>
  <si>
    <t>증감(B-A)</t>
    <phoneticPr fontId="3" type="noConversion"/>
  </si>
  <si>
    <t>*12개월= 1,200,000</t>
  </si>
  <si>
    <t>종사자식대</t>
    <phoneticPr fontId="3" type="noConversion"/>
  </si>
  <si>
    <t>4,949,000
4,989,000</t>
  </si>
  <si>
    <t>4,275,000
4,331,000</t>
  </si>
  <si>
    <t>3,738,000
3,797,000</t>
  </si>
  <si>
    <t>3,474,000
3,545,000</t>
  </si>
  <si>
    <t>3,614,000
3,680,000</t>
  </si>
  <si>
    <t>2,490,000
2,561,000</t>
  </si>
  <si>
    <t>2,251,000
2,331,000</t>
  </si>
  <si>
    <t>2,180,000
2,191,000</t>
  </si>
  <si>
    <t>2,524,000
2,610,000</t>
  </si>
  <si>
    <t>2,451,000
2,524,000</t>
  </si>
  <si>
    <t>2,475,000
2,527,000</t>
  </si>
  <si>
    <t>2,187,000
2,197,000</t>
  </si>
  <si>
    <t>*11개월= 26,444,000</t>
  </si>
  <si>
    <t>*12개월= 28,848,000</t>
  </si>
  <si>
    <t>*12개월= 32,376,000</t>
  </si>
  <si>
    <t>*1개월=2,222,000</t>
  </si>
  <si>
    <t>*10개월= 49,490,000
 *2개월=  9,978,000</t>
    <phoneticPr fontId="3" type="noConversion"/>
  </si>
  <si>
    <t>*6개월= 25,650,000
 *6개월= 25,986,000</t>
    <phoneticPr fontId="3" type="noConversion"/>
  </si>
  <si>
    <t>*6개월= 22,428,000
 *6개월= 22,782,000</t>
    <phoneticPr fontId="3" type="noConversion"/>
  </si>
  <si>
    <t>*8개월= 27,792,000
 *4개월= 14,180,000</t>
    <phoneticPr fontId="3" type="noConversion"/>
  </si>
  <si>
    <t>*11개월= 39,754,000
 *1개월= 3,680,000</t>
    <phoneticPr fontId="3" type="noConversion"/>
  </si>
  <si>
    <t>*4개월= 9,960,000
 *8개월= 20,488,000</t>
    <phoneticPr fontId="3" type="noConversion"/>
  </si>
  <si>
    <t>*10개월=22,510,000
 *1개월= 2,331,000</t>
    <phoneticPr fontId="3" type="noConversion"/>
  </si>
  <si>
    <t>*11개월=23,980,000
 *1개월= 2,191,000</t>
    <phoneticPr fontId="3" type="noConversion"/>
  </si>
  <si>
    <t>*10개월=25,240,000
 *2개월=5,220,000</t>
    <phoneticPr fontId="3" type="noConversion"/>
  </si>
  <si>
    <t>*5개월= 12,255,000
 *7개월= 17,668,000</t>
    <phoneticPr fontId="3" type="noConversion"/>
  </si>
  <si>
    <t xml:space="preserve">*6개월=14,850,000
 *6개월=15,162,000 </t>
    <phoneticPr fontId="3" type="noConversion"/>
  </si>
  <si>
    <t>*10개월= 21,870,000
 *2개월= 4,394,000</t>
    <phoneticPr fontId="3" type="noConversion"/>
  </si>
  <si>
    <t xml:space="preserve"> *1개월=  100,000</t>
    <phoneticPr fontId="3" type="noConversion"/>
  </si>
  <si>
    <t>*11개월= 1,100,000</t>
    <phoneticPr fontId="3" type="noConversion"/>
  </si>
  <si>
    <t>4,375,000
4,431,000</t>
  </si>
  <si>
    <t>*1/209*1.5*15*6=  2,825,940
*1/209*1.5*15*6=  2,862,120</t>
  </si>
  <si>
    <t>3,838,000
3,897,000</t>
  </si>
  <si>
    <t>*1/209*1.5*15*6= 2,479,080
*1/209*1.5*15*6= 2,517,180</t>
  </si>
  <si>
    <t>3,574,000
3,645,000</t>
  </si>
  <si>
    <t>*1/209*1.5*15*8=  3,078,080
*1/209*1.5*15*4=  1,569,600</t>
  </si>
  <si>
    <t>3,714,000
3,780,000</t>
  </si>
  <si>
    <t>*1/209*1.5*15*11= 4,398,130 
*1/209*1.5*15*1=     406,930</t>
  </si>
  <si>
    <t>*1/209*1.5*15*11= 2,965,160</t>
  </si>
  <si>
    <t>*1/209*1.5*15*12= 3,234,720</t>
  </si>
  <si>
    <t>2,590,000
2,661,000</t>
  </si>
  <si>
    <t>*1/209*1.5*15*4=   1,115,280
*1/209*1.5*15*8=   2,291,760</t>
  </si>
  <si>
    <t>2,351,000
2,431,000</t>
  </si>
  <si>
    <t>*1/209*1.5*15*10= 2,530,900
*1/209*1.5*15*1=     261,710</t>
  </si>
  <si>
    <t>2,280,000
2,291,000</t>
  </si>
  <si>
    <t>*1/209*1.5*15*11= 2,699,950
*1/209*1.5*15*1=     246,630</t>
  </si>
  <si>
    <t>2,624,000
2,710,000</t>
  </si>
  <si>
    <t>*1/209*1.5*15*10= 2,824,800
*1/209*1.5*15*2=     583,480</t>
  </si>
  <si>
    <t>*1/209*1.5*15*12= 3,614,640</t>
  </si>
  <si>
    <t>2,551,000
2,624,000</t>
  </si>
  <si>
    <t>*1/209*1.5*15*5=  1,373,100
*1/209*1.5*15*7=  1,977,360</t>
  </si>
  <si>
    <t>2,575,000
2,627,000</t>
  </si>
  <si>
    <t>*1/209*1.5*15*6=  1,663,260
*1/209*1.5*15*6=  1,696,860</t>
  </si>
  <si>
    <t>2,287,000
2,297,000</t>
  </si>
  <si>
    <t>*1/209*1.5*15*10= 2,462,000
*1/209*1.5*15*2=     494,560</t>
  </si>
  <si>
    <t>*1/209*1.5*15*1=     249,970</t>
  </si>
  <si>
    <t>배우자40,000*1명*12개월=480,000
가족수당20,000*2명*12개월=480,000</t>
  </si>
  <si>
    <t>가족수당20,000*2명*12개월=480,000</t>
  </si>
  <si>
    <t>배우자 40,000*1명*12개월=480,000</t>
  </si>
  <si>
    <t>배우자 40,000*1명*12개월=480,000
가족수당20,000*1명*12개월=240,000</t>
  </si>
  <si>
    <t>배우자 40,000*1명*12개월=480,000
가족수당20,000*3명*12개월=720,000
2자녀 수당 60,000*1명 *12개월=720,000</t>
  </si>
  <si>
    <t>배우자 40,000*1명*11개월=440,000
가족수당20,000*1명*11개월=220,000</t>
  </si>
  <si>
    <t>배우자 40,000*1명*12개월=480,000
가족수당20,000*2명*12개월=480,000</t>
  </si>
  <si>
    <t>가족수당20,000*1명*12개월=240,000</t>
  </si>
  <si>
    <t>배우자 40,000*1명*2개월=480,000</t>
  </si>
  <si>
    <t>*120%= 5,938,800</t>
  </si>
  <si>
    <t>*60%= 2,565,000
*60%= 2,598,600</t>
  </si>
  <si>
    <t>*60%= 2,242,800
*60%= 2,278,200</t>
  </si>
  <si>
    <t>*60%= 2,084,400
*60%= 2,127,000</t>
  </si>
  <si>
    <t>*120%= 4,336,800</t>
  </si>
  <si>
    <t>*120%= 2,884,800</t>
  </si>
  <si>
    <t>*60%= 1,494,000
*60%= 1,536,600</t>
  </si>
  <si>
    <t>*120%= 2,701,200</t>
  </si>
  <si>
    <t>*120%= 2,616,000</t>
  </si>
  <si>
    <t>*120%= 3,028,800</t>
  </si>
  <si>
    <t>*120%= 3,237,600</t>
  </si>
  <si>
    <t>*60%= 1,470,600
*60%= 1,514,400</t>
  </si>
  <si>
    <t>*60%= 1,485,000
*60%= 1,516,200</t>
  </si>
  <si>
    <t>*120%= 2,624,400</t>
  </si>
  <si>
    <t>*8.33%= 5,828,280</t>
  </si>
  <si>
    <t>*8.33%= 5,345,150</t>
  </si>
  <si>
    <t>*8.33%= 4,698,750</t>
  </si>
  <si>
    <t>*8.33%= 4,394,130</t>
  </si>
  <si>
    <t>*8.33%= 4,539,510</t>
  </si>
  <si>
    <t>*8.33%= 2,781,740</t>
  </si>
  <si>
    <t>*8.33%= 3,172,740</t>
  </si>
  <si>
    <t>*8.33%= 3,172,490</t>
  </si>
  <si>
    <t>*8.33%= 2,673,500</t>
  </si>
  <si>
    <t>*8.33%= 2,823,300</t>
  </si>
  <si>
    <t>*8.33%= 3,233,480</t>
  </si>
  <si>
    <t>*8.33%= 3,387,660</t>
  </si>
  <si>
    <t>*8.33%= 3,120,280</t>
  </si>
  <si>
    <t>*8.33%= 3,169,840</t>
  </si>
  <si>
    <t>*8.33%= 2,783,460</t>
  </si>
  <si>
    <t>*8.33%= 214,250</t>
  </si>
  <si>
    <t>급식비
1분기: 3,500원*2식*60일*74명=31,080,000
2분기: 3,500원*2식*60일*77명=32,340,000
하반기: 3,500원*2식*132일*100명=92,400,000</t>
  </si>
  <si>
    <t>휴일급식비
1분기: 3,500원*3식*30일*74명= 23,310,000
2분기: 3,500원*3식*30일*77명= 24,255,000
하반기: 3,500원*3식*53일*100명= 55,650,000</t>
  </si>
  <si>
    <t>평일중식비
1분기: 3,500원*1식*60일*74명*30%= 4,662,000
2분기: 3,500원*1식*60일*30%= 5,093,550 
하반기: 3,500원*1식*132일*100명*30%= 13,860,000</t>
  </si>
  <si>
    <t>1분기: 61,120*74*3개월= 13,568,640
2분기: 61,120*77*3개월= 14,118,720
하반기: 61,120*100*6개월= 36,672,000</t>
  </si>
  <si>
    <t>2021년도 1차 세입 추경예산서</t>
    <phoneticPr fontId="3" type="noConversion"/>
  </si>
  <si>
    <t>2500원</t>
    <phoneticPr fontId="3" type="noConversion"/>
  </si>
  <si>
    <t>3500원</t>
    <phoneticPr fontId="3" type="noConversion"/>
  </si>
  <si>
    <t>난방기기 지원사업 3,000,000
창고 및 체력단력실 철거공사 12,000,000
생활관 도배 및 방수 공사 17,431,000</t>
    <phoneticPr fontId="3" type="noConversion"/>
  </si>
  <si>
    <t>설명절</t>
  </si>
  <si>
    <t>추석명절</t>
  </si>
  <si>
    <t>지정후원금(냉난방200, 추석200, 서울시일자리30)_설제외</t>
    <phoneticPr fontId="3" type="noConversion"/>
  </si>
  <si>
    <t>비지정계좌후원금400, CMS계좌후원금654</t>
    <phoneticPr fontId="3" type="noConversion"/>
  </si>
  <si>
    <t>보조금이월금</t>
  </si>
  <si>
    <t>사업수입이월금</t>
  </si>
  <si>
    <t>영농7,000,857원 자판기 473,212원</t>
    <phoneticPr fontId="3" type="noConversion"/>
  </si>
  <si>
    <t>법인전입금 이월사업비(44,570,907+이자48,795)</t>
    <phoneticPr fontId="3" type="noConversion"/>
  </si>
  <si>
    <t>후원금 이월금(지정후원금1,200,000, 비지정후원금8,986,411, 이자 7,850)</t>
    <phoneticPr fontId="3" type="noConversion"/>
  </si>
  <si>
    <t>잡수입 전년도이월금(영농배분금9907997, 이자 9882, 영농사업이자 4666, 잡지출이월 789125, 잡지출이자 1327)</t>
    <phoneticPr fontId="3" type="noConversion"/>
  </si>
  <si>
    <t>세출추경예산서</t>
    <phoneticPr fontId="3" type="noConversion"/>
  </si>
  <si>
    <t>직급</t>
    <phoneticPr fontId="3" type="noConversion"/>
  </si>
  <si>
    <t>기준금액</t>
    <phoneticPr fontId="3" type="noConversion"/>
  </si>
  <si>
    <t>지급요율(%)</t>
    <phoneticPr fontId="3" type="noConversion"/>
  </si>
  <si>
    <t>호봉기준</t>
    <phoneticPr fontId="3" type="noConversion"/>
  </si>
  <si>
    <t>복합기렌탈료</t>
    <phoneticPr fontId="3" type="noConversion"/>
  </si>
  <si>
    <t>음식물처리비</t>
    <phoneticPr fontId="3" type="noConversion"/>
  </si>
  <si>
    <t>소방시설 작동기능점검</t>
    <phoneticPr fontId="3" type="noConversion"/>
  </si>
  <si>
    <t>퇴직적립수수료(운영비)</t>
    <phoneticPr fontId="3" type="noConversion"/>
  </si>
  <si>
    <t>인터넷 및 전화요금</t>
    <phoneticPr fontId="3" type="noConversion"/>
  </si>
  <si>
    <t>식당가스요금</t>
    <phoneticPr fontId="3" type="noConversion"/>
  </si>
  <si>
    <t>생활관가스요금</t>
    <phoneticPr fontId="3" type="noConversion"/>
  </si>
  <si>
    <t>일반전기요금</t>
    <phoneticPr fontId="3" type="noConversion"/>
  </si>
  <si>
    <t>심야전기요금</t>
    <phoneticPr fontId="3" type="noConversion"/>
  </si>
  <si>
    <t>케이블TV</t>
    <phoneticPr fontId="3" type="noConversion"/>
  </si>
  <si>
    <t>상하수도요금</t>
    <phoneticPr fontId="3" type="noConversion"/>
  </si>
  <si>
    <t>2362차량장기보험</t>
    <phoneticPr fontId="3" type="noConversion"/>
  </si>
  <si>
    <t>2693차량장기보험</t>
    <phoneticPr fontId="3" type="noConversion"/>
  </si>
  <si>
    <t>자동차세</t>
    <phoneticPr fontId="3" type="noConversion"/>
  </si>
  <si>
    <t>2362 자동차세</t>
    <phoneticPr fontId="3" type="noConversion"/>
  </si>
  <si>
    <t>2693 자동차세</t>
    <phoneticPr fontId="3" type="noConversion"/>
  </si>
  <si>
    <t>영업배상책임보험</t>
    <phoneticPr fontId="3" type="noConversion"/>
  </si>
  <si>
    <t>가스사고배상책임보험</t>
    <phoneticPr fontId="3" type="noConversion"/>
  </si>
  <si>
    <t>자동차환경개선부담금</t>
    <phoneticPr fontId="3" type="noConversion"/>
  </si>
  <si>
    <t>서울노숙인시설협회정기회비</t>
    <phoneticPr fontId="3" type="noConversion"/>
  </si>
  <si>
    <t>의료비(운영비)</t>
    <phoneticPr fontId="3" type="noConversion"/>
  </si>
  <si>
    <t>사업비(계)</t>
    <phoneticPr fontId="3" type="noConversion"/>
  </si>
  <si>
    <t>입소인나들이</t>
    <phoneticPr fontId="3" type="noConversion"/>
  </si>
  <si>
    <t>입소인간담회및생일파티사업비</t>
    <phoneticPr fontId="3" type="noConversion"/>
  </si>
  <si>
    <t>보조금반환</t>
    <phoneticPr fontId="3" type="noConversion"/>
  </si>
  <si>
    <t>오수처리관리비</t>
    <phoneticPr fontId="3" type="noConversion"/>
  </si>
  <si>
    <t>승강기유지보수료</t>
    <phoneticPr fontId="3" type="noConversion"/>
  </si>
  <si>
    <t>4116 자동차세</t>
    <phoneticPr fontId="3" type="noConversion"/>
  </si>
  <si>
    <t>4116차량단기보험</t>
    <phoneticPr fontId="3" type="noConversion"/>
  </si>
  <si>
    <t>공동작업장 간식비
1,000원*20일*8명*3개월=480,000원, 1000원*20일 10명*9개월=1,800,000</t>
    <phoneticPr fontId="3" type="noConversion"/>
  </si>
  <si>
    <t>1차 추경예산</t>
    <phoneticPr fontId="3" type="noConversion"/>
  </si>
  <si>
    <t>영농사업수익</t>
    <phoneticPr fontId="3" type="noConversion"/>
  </si>
  <si>
    <t>자판기사업수익</t>
    <phoneticPr fontId="3" type="noConversion"/>
  </si>
  <si>
    <t>사업수입 이월금</t>
    <phoneticPr fontId="3" type="noConversion"/>
  </si>
  <si>
    <t>증감</t>
    <phoneticPr fontId="3" type="noConversion"/>
  </si>
  <si>
    <t>2차 추경예산</t>
    <phoneticPr fontId="3" type="noConversion"/>
  </si>
  <si>
    <t>1차 추경예산</t>
    <phoneticPr fontId="3" type="noConversion"/>
  </si>
  <si>
    <t>건강보험
 장기요양보험</t>
    <phoneticPr fontId="3" type="noConversion"/>
  </si>
  <si>
    <t>*4.5%= 29,072,490</t>
    <phoneticPr fontId="3" type="noConversion"/>
  </si>
  <si>
    <t>*3.43%= 22,159,780
 *11.52%= 2,552,790</t>
    <phoneticPr fontId="3" type="noConversion"/>
  </si>
  <si>
    <t>*1.65%= 10,732,530</t>
    <phoneticPr fontId="3" type="noConversion"/>
  </si>
  <si>
    <t>*0.79%= 5,138,700</t>
    <phoneticPr fontId="3" type="noConversion"/>
  </si>
  <si>
    <t>김도진/시설장</t>
    <phoneticPr fontId="3" type="noConversion"/>
  </si>
  <si>
    <t>임선미/사무국장</t>
    <phoneticPr fontId="3" type="noConversion"/>
  </si>
  <si>
    <t>서성범/상담원</t>
    <phoneticPr fontId="3" type="noConversion"/>
  </si>
  <si>
    <t>김민서/상담원</t>
    <phoneticPr fontId="3" type="noConversion"/>
  </si>
  <si>
    <t>이정훈/상담원</t>
    <phoneticPr fontId="3" type="noConversion"/>
  </si>
  <si>
    <t>김기수(정규)/생활지도원</t>
    <phoneticPr fontId="3" type="noConversion"/>
  </si>
  <si>
    <t>이성준/생활지도원</t>
    <phoneticPr fontId="3" type="noConversion"/>
  </si>
  <si>
    <t>손영수/생활지도원</t>
    <phoneticPr fontId="3" type="noConversion"/>
  </si>
  <si>
    <t>정영호/생활지도원</t>
    <phoneticPr fontId="3" type="noConversion"/>
  </si>
  <si>
    <t>이세연/사무원</t>
    <phoneticPr fontId="3" type="noConversion"/>
  </si>
  <si>
    <t>김진영/시설관리</t>
    <phoneticPr fontId="3" type="noConversion"/>
  </si>
  <si>
    <t>김명선/영양사</t>
    <phoneticPr fontId="3" type="noConversion"/>
  </si>
  <si>
    <t>이승연/간호조무사</t>
    <phoneticPr fontId="3" type="noConversion"/>
  </si>
  <si>
    <t>정태임/조리원</t>
    <phoneticPr fontId="3" type="noConversion"/>
  </si>
  <si>
    <t>임은옥/조리원</t>
    <phoneticPr fontId="3" type="noConversion"/>
  </si>
  <si>
    <t>김기수(계약)/생활지도원</t>
    <phoneticPr fontId="3" type="noConversion"/>
  </si>
  <si>
    <t>승강기사고보험</t>
    <phoneticPr fontId="3" type="noConversion"/>
  </si>
  <si>
    <t>서울시 자활프로그램(영농, 양봉, 자격증, 키친)</t>
    <phoneticPr fontId="3" type="noConversion"/>
  </si>
  <si>
    <t>예비비 및 기타</t>
    <phoneticPr fontId="3" type="noConversion"/>
  </si>
  <si>
    <t>김성용특별자활환수금(610210)</t>
    <phoneticPr fontId="3" type="noConversion"/>
  </si>
  <si>
    <t>보조금전년도이월금(기존액5,273,475+20년48259959+20년도이자206,744)</t>
    <phoneticPr fontId="3" type="noConversion"/>
  </si>
  <si>
    <t>예비비및기타</t>
    <phoneticPr fontId="3" type="noConversion"/>
  </si>
  <si>
    <t>복지포인트(10호봉미만)</t>
  </si>
  <si>
    <t>보조금전년도이월금</t>
    <phoneticPr fontId="3" type="noConversion"/>
  </si>
  <si>
    <t>벨킨스 방역대금</t>
    <phoneticPr fontId="3" type="noConversion"/>
  </si>
  <si>
    <t>전기안전관리수수료</t>
    <phoneticPr fontId="3" type="noConversion"/>
  </si>
  <si>
    <t>승강기정기검사수수료</t>
    <phoneticPr fontId="3" type="noConversion"/>
  </si>
  <si>
    <t>세외수입지출분(2016,17 영농배당금)</t>
    <phoneticPr fontId="3" type="noConversion"/>
  </si>
  <si>
    <t xml:space="preserve"> </t>
    <phoneticPr fontId="3" type="noConversion"/>
  </si>
  <si>
    <t>보조금</t>
  </si>
  <si>
    <t>하수처리시설 청소비</t>
    <phoneticPr fontId="3" type="noConversion"/>
  </si>
  <si>
    <t>구세군</t>
    <phoneticPr fontId="3" type="noConversion"/>
  </si>
  <si>
    <t>개월</t>
    <phoneticPr fontId="3" type="noConversion"/>
  </si>
  <si>
    <t>정수기 렌탈료</t>
    <phoneticPr fontId="3" type="noConversion"/>
  </si>
  <si>
    <t>회</t>
    <phoneticPr fontId="3" type="noConversion"/>
  </si>
  <si>
    <t>연계약</t>
    <phoneticPr fontId="3" type="noConversion"/>
  </si>
  <si>
    <t>단체상해공제보험</t>
    <phoneticPr fontId="3" type="noConversion"/>
  </si>
  <si>
    <t>홈페이지 유지보수비</t>
    <phoneticPr fontId="3" type="noConversion"/>
  </si>
  <si>
    <t>구법인</t>
    <phoneticPr fontId="3" type="noConversion"/>
  </si>
  <si>
    <t>장기요양보험</t>
    <phoneticPr fontId="3" type="noConversion"/>
  </si>
  <si>
    <t>수질검사비</t>
    <phoneticPr fontId="3" type="noConversion"/>
  </si>
  <si>
    <t>소모품비 및 소규모 수선비</t>
    <phoneticPr fontId="3" type="noConversion"/>
  </si>
  <si>
    <t>CMS 수수료</t>
    <phoneticPr fontId="3" type="noConversion"/>
  </si>
  <si>
    <t>개월(분할)</t>
    <phoneticPr fontId="3" type="noConversion"/>
  </si>
  <si>
    <t>소방자동화설비요금</t>
    <phoneticPr fontId="3" type="noConversion"/>
  </si>
  <si>
    <t>승강기 전용 전화요금</t>
    <phoneticPr fontId="3" type="noConversion"/>
  </si>
  <si>
    <t>연간</t>
    <phoneticPr fontId="3" type="noConversion"/>
  </si>
  <si>
    <t>4종 집단 급식소 면허세</t>
    <phoneticPr fontId="3" type="noConversion"/>
  </si>
  <si>
    <t>집기비품 화재보험</t>
    <phoneticPr fontId="3" type="noConversion"/>
  </si>
  <si>
    <t>주유비(5대)</t>
    <phoneticPr fontId="3" type="noConversion"/>
  </si>
  <si>
    <t>차량 유지비</t>
    <phoneticPr fontId="3" type="noConversion"/>
  </si>
  <si>
    <t>공동작업장 간식비 계</t>
    <phoneticPr fontId="3" type="noConversion"/>
  </si>
  <si>
    <t>직원역량강화사업비 계</t>
    <phoneticPr fontId="3" type="noConversion"/>
  </si>
  <si>
    <t>직원역량강화사업</t>
    <phoneticPr fontId="3" type="noConversion"/>
  </si>
  <si>
    <t>영농사업 계</t>
    <phoneticPr fontId="3" type="noConversion"/>
  </si>
  <si>
    <t>수익사업</t>
    <phoneticPr fontId="3" type="noConversion"/>
  </si>
  <si>
    <t>수용기관경비 계</t>
    <phoneticPr fontId="3" type="noConversion"/>
  </si>
  <si>
    <t>의료비 계</t>
    <phoneticPr fontId="3" type="noConversion"/>
  </si>
  <si>
    <t>여비</t>
    <phoneticPr fontId="3" type="noConversion"/>
  </si>
  <si>
    <t>기타운영비 계</t>
    <phoneticPr fontId="3" type="noConversion"/>
  </si>
  <si>
    <t>회의비 계</t>
    <phoneticPr fontId="3" type="noConversion"/>
  </si>
  <si>
    <t>/209*15시간*1.5</t>
    <phoneticPr fontId="3" type="noConversion"/>
  </si>
  <si>
    <t>배우자</t>
    <phoneticPr fontId="3" type="noConversion"/>
  </si>
  <si>
    <t>기타부양가족 2</t>
    <phoneticPr fontId="3" type="noConversion"/>
  </si>
  <si>
    <t>기타부양가족 1</t>
    <phoneticPr fontId="3" type="noConversion"/>
  </si>
  <si>
    <t>자녀 3</t>
    <phoneticPr fontId="3" type="noConversion"/>
  </si>
  <si>
    <t>*60%</t>
    <phoneticPr fontId="3" type="noConversion"/>
  </si>
  <si>
    <t>*120%</t>
  </si>
  <si>
    <t>*120%</t>
    <phoneticPr fontId="3" type="noConversion"/>
  </si>
  <si>
    <t>명</t>
    <phoneticPr fontId="3" type="noConversion"/>
  </si>
  <si>
    <t>지급개월</t>
    <phoneticPr fontId="3" type="noConversion"/>
  </si>
  <si>
    <t>지급인수</t>
    <phoneticPr fontId="3" type="noConversion"/>
  </si>
  <si>
    <t>기타부양가족 3</t>
    <phoneticPr fontId="3" type="noConversion"/>
  </si>
  <si>
    <t>산출 근거</t>
    <phoneticPr fontId="3" type="noConversion"/>
  </si>
  <si>
    <t>직원중식비 계</t>
    <phoneticPr fontId="3" type="noConversion"/>
  </si>
  <si>
    <t>공사업체식대</t>
    <phoneticPr fontId="3" type="noConversion"/>
  </si>
  <si>
    <t>보조금 반환 계</t>
    <phoneticPr fontId="3" type="noConversion"/>
  </si>
  <si>
    <t>예정분</t>
    <phoneticPr fontId="3" type="noConversion"/>
  </si>
  <si>
    <t xml:space="preserve">1분기 운영보조금 </t>
    <phoneticPr fontId="3" type="noConversion"/>
  </si>
  <si>
    <t>2분기 운영보조금</t>
    <phoneticPr fontId="3" type="noConversion"/>
  </si>
  <si>
    <t>3분기 운영보조금</t>
    <phoneticPr fontId="3" type="noConversion"/>
  </si>
  <si>
    <t>4분기 운영보조금</t>
    <phoneticPr fontId="3" type="noConversion"/>
  </si>
  <si>
    <t>1분기 급식비</t>
    <phoneticPr fontId="3" type="noConversion"/>
  </si>
  <si>
    <t>2분기 급식비</t>
  </si>
  <si>
    <t>3분기 급식비</t>
  </si>
  <si>
    <t>4분기 급식비</t>
  </si>
  <si>
    <t>분기</t>
    <phoneticPr fontId="3" type="noConversion"/>
  </si>
  <si>
    <t>4/4</t>
    <phoneticPr fontId="3" type="noConversion"/>
  </si>
  <si>
    <t>2/4</t>
    <phoneticPr fontId="3" type="noConversion"/>
  </si>
  <si>
    <t>1/4</t>
    <phoneticPr fontId="3" type="noConversion"/>
  </si>
  <si>
    <t>3/4</t>
    <phoneticPr fontId="3" type="noConversion"/>
  </si>
  <si>
    <t>식대 4,000원</t>
    <phoneticPr fontId="3" type="noConversion"/>
  </si>
  <si>
    <t>1분기 중식비</t>
    <phoneticPr fontId="3" type="noConversion"/>
  </si>
  <si>
    <t>2분기 중식비</t>
  </si>
  <si>
    <t>3분기 중식비</t>
  </si>
  <si>
    <t>4분기 중식비</t>
    <phoneticPr fontId="3" type="noConversion"/>
  </si>
  <si>
    <t>서노협 명절지원비</t>
    <phoneticPr fontId="3" type="noConversion"/>
  </si>
  <si>
    <t xml:space="preserve">비지정후원금 </t>
    <phoneticPr fontId="3" type="noConversion"/>
  </si>
  <si>
    <t xml:space="preserve">CMS 계좌 </t>
    <phoneticPr fontId="3" type="noConversion"/>
  </si>
  <si>
    <t>세외수입 잔액</t>
    <phoneticPr fontId="3" type="noConversion"/>
  </si>
  <si>
    <t>영농수익금</t>
    <phoneticPr fontId="3" type="noConversion"/>
  </si>
  <si>
    <t>자판기수익금</t>
    <phoneticPr fontId="3" type="noConversion"/>
  </si>
  <si>
    <t>사업수입 계</t>
    <phoneticPr fontId="3" type="noConversion"/>
  </si>
  <si>
    <t>잡수입 계</t>
    <phoneticPr fontId="3" type="noConversion"/>
  </si>
  <si>
    <t>후원금 계</t>
    <phoneticPr fontId="3" type="noConversion"/>
  </si>
  <si>
    <t>기타운영비 일부 뽑아서 수용비로</t>
    <phoneticPr fontId="3" type="noConversion"/>
  </si>
  <si>
    <t>건강보험</t>
    <phoneticPr fontId="3" type="noConversion"/>
  </si>
  <si>
    <t>기타 세금 및 수수료 계</t>
    <phoneticPr fontId="3" type="noConversion"/>
  </si>
  <si>
    <t>상담원 (3급)</t>
  </si>
  <si>
    <t>상담원 (3급)</t>
    <phoneticPr fontId="3" type="noConversion"/>
  </si>
  <si>
    <t>사무국장 (3급)</t>
  </si>
  <si>
    <t>사무국장 (3급)</t>
    <phoneticPr fontId="3" type="noConversion"/>
  </si>
  <si>
    <t>시설장 (1급)</t>
  </si>
  <si>
    <t>시설장 (1급)</t>
    <phoneticPr fontId="3" type="noConversion"/>
  </si>
  <si>
    <t>생활지도원 (5급)</t>
  </si>
  <si>
    <t>생활지도원 (5급)</t>
    <phoneticPr fontId="3" type="noConversion"/>
  </si>
  <si>
    <t>시설관리 (6급)</t>
    <phoneticPr fontId="3" type="noConversion"/>
  </si>
  <si>
    <t>영양사 (5급)</t>
  </si>
  <si>
    <t>영양사 (5급)</t>
    <phoneticPr fontId="3" type="noConversion"/>
  </si>
  <si>
    <t>간호조무사 (6급)</t>
  </si>
  <si>
    <t>간호조무사 (6급)</t>
    <phoneticPr fontId="3" type="noConversion"/>
  </si>
  <si>
    <t>조리원 (7급)</t>
  </si>
  <si>
    <t>조리원 (7급)</t>
    <phoneticPr fontId="3" type="noConversion"/>
  </si>
  <si>
    <t>사무원 (6급)</t>
  </si>
  <si>
    <t>시설관리사 (6급)</t>
  </si>
  <si>
    <t>회의비 등</t>
    <phoneticPr fontId="3" type="noConversion"/>
  </si>
  <si>
    <t>순   위</t>
  </si>
  <si>
    <t>직  위</t>
  </si>
  <si>
    <t>성  명</t>
  </si>
  <si>
    <t>계</t>
  </si>
  <si>
    <t>기본급</t>
  </si>
  <si>
    <t>급식비</t>
  </si>
  <si>
    <t>가족수당</t>
  </si>
  <si>
    <t>연장근로수당</t>
  </si>
  <si>
    <t>명절휴가비</t>
  </si>
  <si>
    <t>관리자수당</t>
  </si>
  <si>
    <t>승급월</t>
  </si>
  <si>
    <t>복지포인트</t>
  </si>
  <si>
    <t>총계</t>
  </si>
  <si>
    <t>시설장</t>
  </si>
  <si>
    <t>11</t>
  </si>
  <si>
    <t>행정책임자</t>
  </si>
  <si>
    <t>손경훈</t>
  </si>
  <si>
    <t>4</t>
  </si>
  <si>
    <t>상담원</t>
  </si>
  <si>
    <t>7</t>
  </si>
  <si>
    <t>9</t>
  </si>
  <si>
    <t>12</t>
  </si>
  <si>
    <t>생활지도원</t>
  </si>
  <si>
    <t>1</t>
  </si>
  <si>
    <t>5</t>
  </si>
  <si>
    <t>시설관리</t>
  </si>
  <si>
    <t>영양사</t>
  </si>
  <si>
    <t>간호조무사</t>
  </si>
  <si>
    <t>6</t>
  </si>
  <si>
    <t>조리원</t>
  </si>
  <si>
    <t>전서윤</t>
  </si>
  <si>
    <t>길상철</t>
  </si>
  <si>
    <t>사무원</t>
  </si>
  <si>
    <t>한정우</t>
  </si>
  <si>
    <t>자녀 1</t>
    <phoneticPr fontId="3" type="noConversion"/>
  </si>
  <si>
    <t>기타부양가족 1</t>
  </si>
  <si>
    <t>식대 4,000원</t>
  </si>
  <si>
    <t>회</t>
  </si>
  <si>
    <t>8인 * 1,500 * 20일</t>
    <phoneticPr fontId="3" type="noConversion"/>
  </si>
  <si>
    <t>서노협 냉난방비</t>
    <phoneticPr fontId="3" type="noConversion"/>
  </si>
  <si>
    <t>1/4</t>
  </si>
  <si>
    <t>분기</t>
  </si>
  <si>
    <t>2/4</t>
  </si>
  <si>
    <t>3/4</t>
  </si>
  <si>
    <t>4/4</t>
  </si>
  <si>
    <t xml:space="preserve">1분기 특별자활 </t>
    <phoneticPr fontId="3" type="noConversion"/>
  </si>
  <si>
    <t>2분기 특별자활</t>
  </si>
  <si>
    <t>3분기 특별자활</t>
  </si>
  <si>
    <t>4분기 특별자활</t>
    <phoneticPr fontId="3" type="noConversion"/>
  </si>
  <si>
    <t>1분기 일자리갖기</t>
    <phoneticPr fontId="3" type="noConversion"/>
  </si>
  <si>
    <t>2분기 일자리갖기</t>
  </si>
  <si>
    <t>3분기 일자리갖기</t>
  </si>
  <si>
    <t>4분기 일자리갖기</t>
  </si>
  <si>
    <t>보조금 이월금 계</t>
    <phoneticPr fontId="3" type="noConversion"/>
  </si>
  <si>
    <t>법인전입금 계</t>
    <phoneticPr fontId="3" type="noConversion"/>
  </si>
  <si>
    <t>반납완료</t>
    <phoneticPr fontId="3" type="noConversion"/>
  </si>
  <si>
    <t>입소인생필품지원사업 계</t>
    <phoneticPr fontId="3" type="noConversion"/>
  </si>
  <si>
    <t>신규입소인 생필품</t>
    <phoneticPr fontId="3" type="noConversion"/>
  </si>
  <si>
    <t>신규입소인 생필품 10,000원×100명</t>
    <phoneticPr fontId="3" type="noConversion"/>
  </si>
  <si>
    <t>생활용품</t>
    <phoneticPr fontId="3" type="noConversion"/>
  </si>
  <si>
    <t>생활용품 10,000원×100명×반기별</t>
    <phoneticPr fontId="3" type="noConversion"/>
  </si>
  <si>
    <t>생필품</t>
    <phoneticPr fontId="3" type="noConversion"/>
  </si>
  <si>
    <t>생필품 10,000원×100명×분기별</t>
    <phoneticPr fontId="3" type="noConversion"/>
  </si>
  <si>
    <t>주민등록복원사업</t>
    <phoneticPr fontId="3" type="noConversion"/>
  </si>
  <si>
    <t>주민등록 복원 20,000원×10명
 예비비 100,000원</t>
    <phoneticPr fontId="3" type="noConversion"/>
  </si>
  <si>
    <t>임대주택 입주자 축하 집들이 선물(생필품)
 100,000원×3명</t>
    <phoneticPr fontId="3" type="noConversion"/>
  </si>
  <si>
    <t>간식비(집단상담 등)
 50,000원 × 월 2회 × 12개월</t>
    <phoneticPr fontId="3" type="noConversion"/>
  </si>
  <si>
    <t>명절사업비 계</t>
    <phoneticPr fontId="3" type="noConversion"/>
  </si>
  <si>
    <t>양평쉼터 감사의 밤</t>
    <phoneticPr fontId="3" type="noConversion"/>
  </si>
  <si>
    <t>당직수당</t>
    <phoneticPr fontId="3" type="noConversion"/>
  </si>
  <si>
    <t>일</t>
    <phoneticPr fontId="3" type="noConversion"/>
  </si>
  <si>
    <t>세입부</t>
    <phoneticPr fontId="3" type="noConversion"/>
  </si>
  <si>
    <t>세출부</t>
    <phoneticPr fontId="3" type="noConversion"/>
  </si>
  <si>
    <t>소방시설 종합정밀점검</t>
    <phoneticPr fontId="3" type="noConversion"/>
  </si>
  <si>
    <t>인문학 기본과정</t>
    <phoneticPr fontId="3" type="noConversion"/>
  </si>
  <si>
    <t>기타 차량유지비</t>
    <phoneticPr fontId="3" type="noConversion"/>
  </si>
  <si>
    <t>2023년 양평쉼터 예산안 요약표</t>
    <phoneticPr fontId="3" type="noConversion"/>
  </si>
  <si>
    <t>시설장비유지비</t>
    <phoneticPr fontId="3" type="noConversion"/>
  </si>
  <si>
    <t>자판기 수익금</t>
    <phoneticPr fontId="3" type="noConversion"/>
  </si>
  <si>
    <t>영농자활사업 수익금</t>
    <phoneticPr fontId="3" type="noConversion"/>
  </si>
  <si>
    <t>잡수입이자</t>
    <phoneticPr fontId="3" type="noConversion"/>
  </si>
  <si>
    <t>취업지원사업 계</t>
    <phoneticPr fontId="3" type="noConversion"/>
  </si>
  <si>
    <t>특별자활사업비</t>
    <phoneticPr fontId="3" type="noConversion"/>
  </si>
  <si>
    <t>일자리갖기사업비</t>
    <phoneticPr fontId="3" type="noConversion"/>
  </si>
  <si>
    <t>문화체험프로그램</t>
    <phoneticPr fontId="3" type="noConversion"/>
  </si>
  <si>
    <t>문화체험 진행비</t>
    <phoneticPr fontId="3" type="noConversion"/>
  </si>
  <si>
    <t>차량 주유비 50,000×2대×4회
체험비 20,000×10명×4회
간식비 4,000×10명×4회</t>
    <phoneticPr fontId="3" type="noConversion"/>
  </si>
  <si>
    <t>만족도 조사 및 사업평가</t>
    <phoneticPr fontId="3" type="noConversion"/>
  </si>
  <si>
    <t>회의비 및 식비 18,000×10명×1회</t>
    <phoneticPr fontId="3" type="noConversion"/>
  </si>
  <si>
    <t>강사비, 사례교육, 문화유적지 탐방, 워크숍</t>
    <phoneticPr fontId="3" type="noConversion"/>
  </si>
  <si>
    <t>인문학자격증취득지원</t>
    <phoneticPr fontId="3" type="noConversion"/>
  </si>
  <si>
    <t>인문학 자격증 진행비</t>
    <phoneticPr fontId="3" type="noConversion"/>
  </si>
  <si>
    <t>중장비, 제과제빵, 운전면서, 교재비</t>
    <phoneticPr fontId="3" type="noConversion"/>
  </si>
  <si>
    <t>인문학축구(꺽이지 않는 마음)</t>
    <phoneticPr fontId="3" type="noConversion"/>
  </si>
  <si>
    <t>인문학 축구 진행비</t>
    <phoneticPr fontId="3" type="noConversion"/>
  </si>
  <si>
    <t>방역사업비</t>
    <phoneticPr fontId="3" type="noConversion"/>
  </si>
  <si>
    <t>생일케이크 480,000원
(40,000원×12회)
프로그램 간식비 1,200,000원
(100,000×12회)
생일선물 1,500,000원
(15,000원×100명)
예비비 320,000</t>
    <phoneticPr fontId="3" type="noConversion"/>
  </si>
  <si>
    <t>소식지(홈페이지 등) 발송 300,000원 × 1회
 감사편지 발송 200,000원× 1회</t>
    <phoneticPr fontId="3" type="noConversion"/>
  </si>
  <si>
    <t>2024년 양평쉼터 세입세출총괄표</t>
    <phoneticPr fontId="3" type="noConversion"/>
  </si>
  <si>
    <t>2024년 양평쉼터1차추경 세입세출총괄표</t>
    <phoneticPr fontId="3" type="noConversion"/>
  </si>
  <si>
    <t>2024년 양평쉼터 예산안 요약표</t>
    <phoneticPr fontId="3" type="noConversion"/>
  </si>
  <si>
    <t>2023년 이월금</t>
  </si>
  <si>
    <t>2023년 이월금</t>
    <phoneticPr fontId="3" type="noConversion"/>
  </si>
  <si>
    <t>개월</t>
  </si>
  <si>
    <t xml:space="preserve">기타부양가족 </t>
    <phoneticPr fontId="3" type="noConversion"/>
  </si>
  <si>
    <t>~68명 현원기준
난방비 특별지원금
12,000,000</t>
    <phoneticPr fontId="3" type="noConversion"/>
  </si>
  <si>
    <t>~73명 현원기준</t>
    <phoneticPr fontId="3" type="noConversion"/>
  </si>
  <si>
    <t>하수처리 시설 방류수 배관 매립 공사</t>
    <phoneticPr fontId="3" type="noConversion"/>
  </si>
  <si>
    <t>본관 옥상 진입계단 및 난간 설치</t>
    <phoneticPr fontId="3" type="noConversion"/>
  </si>
  <si>
    <t>급식실 노후 냉장고 교체 및 반찬냉장고 교체</t>
    <phoneticPr fontId="3" type="noConversion"/>
  </si>
  <si>
    <t>간식비</t>
    <phoneticPr fontId="3" type="noConversion"/>
  </si>
  <si>
    <t>우수참여자 지원비</t>
    <phoneticPr fontId="3" type="noConversion"/>
  </si>
  <si>
    <t>24년 신원보증보험</t>
    <phoneticPr fontId="3" type="noConversion"/>
  </si>
  <si>
    <t>2023년 소식지, 2024년 사업계획서</t>
    <phoneticPr fontId="3" type="noConversion"/>
  </si>
  <si>
    <t>23년 일자리사업 운영지원금 반납</t>
    <phoneticPr fontId="3" type="noConversion"/>
  </si>
  <si>
    <t xml:space="preserve">23년 운영비 및 기능보강 잔액 반납 </t>
    <phoneticPr fontId="3" type="noConversion"/>
  </si>
  <si>
    <t>23년 코로나방역사업비 이월금</t>
    <phoneticPr fontId="3" type="noConversion"/>
  </si>
  <si>
    <t>23년 프로그램비 집행잔액 반납 보고</t>
    <phoneticPr fontId="3" type="noConversion"/>
  </si>
  <si>
    <t xml:space="preserve">23년 호우피해응급복구비 반납 </t>
    <phoneticPr fontId="3" type="noConversion"/>
  </si>
  <si>
    <t>22년도 자동차세 환급금 반납</t>
    <phoneticPr fontId="3" type="noConversion"/>
  </si>
  <si>
    <t>기초체력향상, 사회성 회복</t>
    <phoneticPr fontId="3" type="noConversion"/>
  </si>
  <si>
    <t>공동작업장 우수참여자 지원비</t>
    <phoneticPr fontId="3" type="noConversion"/>
  </si>
  <si>
    <t>냉방비 1,300,000
난방비 5,000,000</t>
    <phoneticPr fontId="3" type="noConversion"/>
  </si>
  <si>
    <t>김태민</t>
    <phoneticPr fontId="3" type="noConversion"/>
  </si>
  <si>
    <t>11</t>
    <phoneticPr fontId="3" type="noConversion"/>
  </si>
  <si>
    <t>5</t>
    <phoneticPr fontId="3" type="noConversion"/>
  </si>
  <si>
    <t>2024.05.20.기준</t>
    <phoneticPr fontId="3" type="noConversion"/>
  </si>
  <si>
    <t>2.  2024년도 노숙인 시설 종사자 급여 지원기준으로 산정하여 적용함(승급 호봉 적용)</t>
    <phoneticPr fontId="3" type="noConversion"/>
  </si>
  <si>
    <t>1.  2024년도 서울특별시립 양평쉼터 직원 임금 현황.</t>
    <phoneticPr fontId="3" type="noConversion"/>
  </si>
  <si>
    <t>하수처리 시설 방류수 배관 매립 공사</t>
  </si>
  <si>
    <t>본관 옥상 진입계단 및 난간 설치</t>
  </si>
  <si>
    <t>급식실 노후 냉장고 교체 및 반찬냉장고 교체</t>
  </si>
  <si>
    <t>생활관 세탁기 구매</t>
  </si>
  <si>
    <t>23년도 난방비 이월분</t>
    <phoneticPr fontId="3" type="noConversion"/>
  </si>
  <si>
    <t>1,542,430원 난방비 이월분</t>
    <phoneticPr fontId="3" type="noConversion"/>
  </si>
  <si>
    <t>운영비 지출</t>
    <phoneticPr fontId="3" type="noConversion"/>
  </si>
  <si>
    <t>당직수당 퇴직적립금</t>
  </si>
  <si>
    <t>연간</t>
  </si>
  <si>
    <t>전노협 협회비 납부</t>
    <phoneticPr fontId="3" type="noConversion"/>
  </si>
  <si>
    <t>명절프로그램 사업비</t>
    <phoneticPr fontId="3" type="noConversion"/>
  </si>
  <si>
    <t>구세군 법인전입금</t>
    <phoneticPr fontId="3" type="noConversion"/>
  </si>
  <si>
    <t>구세군 법인전입급 후원금</t>
    <phoneticPr fontId="3" type="noConversion"/>
  </si>
  <si>
    <t>9</t>
    <phoneticPr fontId="3" type="noConversion"/>
  </si>
  <si>
    <t>중식비</t>
    <phoneticPr fontId="3" type="noConversion"/>
  </si>
  <si>
    <t>증감(C-B)</t>
    <phoneticPr fontId="3" type="noConversion"/>
  </si>
  <si>
    <t>이다영</t>
    <phoneticPr fontId="3" type="noConversion"/>
  </si>
  <si>
    <t>3</t>
    <phoneticPr fontId="3" type="noConversion"/>
  </si>
  <si>
    <t>국민연금(4.50%), 건강보험(3.545%),산재보험(0.76%), 
고용보험(1.75%), 퇴직적립금(8.33%), 장기요양보험(건강보험료*12.81%)</t>
    <phoneticPr fontId="3" type="noConversion"/>
  </si>
  <si>
    <t>시설관리원 (6급)</t>
    <phoneticPr fontId="3" type="noConversion"/>
  </si>
  <si>
    <t>육아휴직 5월~12월</t>
    <phoneticPr fontId="3" type="noConversion"/>
  </si>
  <si>
    <t>/209*15시간*1.5 육아휴직</t>
    <phoneticPr fontId="3" type="noConversion"/>
  </si>
  <si>
    <t>8.33% 육아휴직</t>
    <phoneticPr fontId="3" type="noConversion"/>
  </si>
  <si>
    <t>*60% 육아휴직</t>
    <phoneticPr fontId="3" type="noConversion"/>
  </si>
  <si>
    <t>육아휴직 대체 6월~12월 근로</t>
    <phoneticPr fontId="3" type="noConversion"/>
  </si>
  <si>
    <t>/209*15시간*1.5 육아휴직 대체자</t>
    <phoneticPr fontId="3" type="noConversion"/>
  </si>
  <si>
    <t>육아휴직 대체자 6개월분 추가</t>
    <phoneticPr fontId="3" type="noConversion"/>
  </si>
  <si>
    <t>~82명 현원기준</t>
    <phoneticPr fontId="3" type="noConversion"/>
  </si>
  <si>
    <t>활성화지원금</t>
    <phoneticPr fontId="3" type="noConversion"/>
  </si>
  <si>
    <t>~79명 현원기준
냉방비 특별지원금
1,000,000</t>
    <phoneticPr fontId="3" type="noConversion"/>
  </si>
  <si>
    <t>양평군청주민세 반환금</t>
    <phoneticPr fontId="3" type="noConversion"/>
  </si>
  <si>
    <t>이자수입</t>
  </si>
  <si>
    <t>이자수입</t>
    <phoneticPr fontId="3" type="noConversion"/>
  </si>
  <si>
    <t>2,249 예수금 이자 포함</t>
  </si>
  <si>
    <t>2,249 예수금 이자 포함</t>
    <phoneticPr fontId="3" type="noConversion"/>
  </si>
  <si>
    <t>23년도 지방보조사업 정산보고서 검증비</t>
    <phoneticPr fontId="3" type="noConversion"/>
  </si>
  <si>
    <t>양평쉼터 위탁 운영 신청서 제본</t>
    <phoneticPr fontId="3" type="noConversion"/>
  </si>
  <si>
    <t>대일밴드 외 9종 = 150,000원  
소화제 외 8종   = 150,000원
 혈당스트립 외 5종 = 100,000원
 종합감기약 외 4종 = 100,000원</t>
    <phoneticPr fontId="3" type="noConversion"/>
  </si>
  <si>
    <t>주민세 환급금</t>
    <phoneticPr fontId="3" type="noConversion"/>
  </si>
  <si>
    <t>19~24년도 주민세 및 이자</t>
    <phoneticPr fontId="3" type="noConversion"/>
  </si>
  <si>
    <t>정기검진비(3대)</t>
    <phoneticPr fontId="3" type="noConversion"/>
  </si>
  <si>
    <t>공동작업장 활성화 지원비</t>
    <phoneticPr fontId="3" type="noConversion"/>
  </si>
  <si>
    <t>육아휴직 대체자 150,000원</t>
    <phoneticPr fontId="3" type="noConversion"/>
  </si>
  <si>
    <t>윤달 2월29일</t>
    <phoneticPr fontId="3" type="noConversion"/>
  </si>
  <si>
    <t>2024년 2차 추경 예산서</t>
    <phoneticPr fontId="3" type="noConversion"/>
  </si>
  <si>
    <t>예금이자수입</t>
    <phoneticPr fontId="3" type="noConversion"/>
  </si>
  <si>
    <t>2024년도 2차 세입 추경예산서</t>
    <phoneticPr fontId="3" type="noConversion"/>
  </si>
  <si>
    <t>2024년도 2차 세출 추경예산서</t>
    <phoneticPr fontId="3" type="noConversion"/>
  </si>
  <si>
    <t>희망의 인문학 계</t>
    <phoneticPr fontId="3" type="noConversion"/>
  </si>
  <si>
    <t>인문학 수료식 진행비</t>
    <phoneticPr fontId="3" type="noConversion"/>
  </si>
  <si>
    <t>인문학 프로그램(기본, 축구, 자격증)
진행비 및 주유비 추가</t>
    <phoneticPr fontId="3" type="noConversion"/>
  </si>
  <si>
    <t>인문학 진행비</t>
    <phoneticPr fontId="3" type="noConversion"/>
  </si>
  <si>
    <t>인문학 기본과정 진행비 추가 입금</t>
    <phoneticPr fontId="3" type="noConversion"/>
  </si>
  <si>
    <t>인버터펌프 회로기판 교체</t>
    <phoneticPr fontId="3" type="noConversion"/>
  </si>
  <si>
    <t>2024년 행정사무감사 및 주요 업무보고 제본</t>
    <phoneticPr fontId="3" type="noConversion"/>
  </si>
  <si>
    <t>농기계 운전 교육 및 간담회 460,000원
작물 재배 6,820,000원
농기계 유지보수 600,000원
유류비 2,572,000원
종결평가회 300,000원
트렉터구매 25,000,000원
기타 농자재 4,000,000원
온실 보수 3,500,000원
농지 임대 4,600,000원</t>
    <phoneticPr fontId="3" type="noConversion"/>
  </si>
  <si>
    <t>설 명절 특식비 680,000원  (68명)
추석 명절 특식비 790,000원 (79명)</t>
    <phoneticPr fontId="3" type="noConversion"/>
  </si>
  <si>
    <t>생활용품(선물) 23,000원×80명</t>
    <phoneticPr fontId="3" type="noConversion"/>
  </si>
  <si>
    <t>입소인 선물 50,000원×82명 = 4,100,000원
추석 명절 간식비(떡, 다과, 피자) = 900,000원</t>
    <phoneticPr fontId="3" type="noConversion"/>
  </si>
  <si>
    <t>시설 이용료 및 중식비 2,200,000원
석식비 782,000원
주유비 50,000원
진행비 및 간식비 130,000원
버스 대여비 700,000원
여행자 보험료 70,830원</t>
    <phoneticPr fontId="3" type="noConversion"/>
  </si>
  <si>
    <t>간식비 1,500원 × 20일 ×10명 (인원 가변)</t>
    <phoneticPr fontId="3" type="noConversion"/>
  </si>
  <si>
    <t>간식비 1,500원 × 20일 × 10명 (인원 가변)</t>
    <phoneticPr fontId="3" type="noConversion"/>
  </si>
  <si>
    <t>78,880원×[263일+52주휴+11월차]×17명
식대 33,456,000원
8,000원×246일×17명
사회보험료 43,438,110원</t>
    <phoneticPr fontId="3" type="noConversion"/>
  </si>
  <si>
    <t xml:space="preserve">49,300원×[144회+24주휴+11월차]×20명
식대 23,040,000원
8000원×144회×20명
사회보험료 19,435,700원
</t>
    <phoneticPr fontId="3" type="noConversion"/>
  </si>
  <si>
    <t>대체인력 7월 입사 5~6월 중식비 160,000원 수입없음
중도 입사자 입금분 차액 36,130원 제외</t>
    <phoneticPr fontId="3" type="noConversion"/>
  </si>
  <si>
    <t>교육비  54,000×15명
워크숍 100,000×15명</t>
    <phoneticPr fontId="3" type="noConversion"/>
  </si>
  <si>
    <t>*60% 육아휴직 대체자</t>
    <phoneticPr fontId="3" type="noConversion"/>
  </si>
  <si>
    <t>*60% 육아휴직 대체자</t>
    <phoneticPr fontId="3" type="noConversion"/>
  </si>
  <si>
    <t>8.33% 육아휴직 대체자</t>
    <phoneticPr fontId="3" type="noConversion"/>
  </si>
  <si>
    <t>생활지도원 (5급) 퇴사자</t>
    <phoneticPr fontId="3" type="noConversion"/>
  </si>
  <si>
    <t>8.33% (육아휴직 퇴직적립금)</t>
    <phoneticPr fontId="3" type="noConversion"/>
  </si>
  <si>
    <t>직원 복리비(명절선물, 휴가비) 280,000원×15명
직원 피복비(하계, 동계 피복비) 130,000원×15명
직원회의비 450,000원×6회
직원경조사비 650,000원</t>
    <phoneticPr fontId="3" type="noConversion"/>
  </si>
  <si>
    <t>프로그램 사업계획 취소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</si>
</sst>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#,##0_);[Red]\(#,##0\)"/>
    <numFmt numFmtId="178" formatCode="0.000%"/>
    <numFmt numFmtId="179" formatCode="_-* #,##0.000000_-;\-* #,##0.000000_-;_-* &quot;-&quot;_-;_-@_-"/>
  </numFmts>
  <fonts count="55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14"/>
      <name val="돋움"/>
      <family val="3"/>
      <charset val="129"/>
    </font>
    <font>
      <b/>
      <sz val="11"/>
      <name val="굴림"/>
      <family val="3"/>
      <charset val="129"/>
    </font>
    <font>
      <sz val="9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1"/>
      <name val="돋움"/>
      <family val="3"/>
      <charset val="129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40"/>
      <color rgb="FF000000"/>
      <name val="맑은 고딕"/>
      <family val="3"/>
      <charset val="129"/>
    </font>
    <font>
      <sz val="22"/>
      <color rgb="FF000000"/>
      <name val="맑은 고딕"/>
      <family val="3"/>
      <charset val="129"/>
    </font>
    <font>
      <sz val="30"/>
      <color rgb="FF000000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20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b/>
      <sz val="9"/>
      <name val="굴림"/>
      <family val="3"/>
      <charset val="129"/>
    </font>
    <font>
      <sz val="9"/>
      <name val="돋움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굴림"/>
      <family val="3"/>
      <charset val="129"/>
    </font>
    <font>
      <sz val="9"/>
      <color indexed="81"/>
      <name val="Tahoma"/>
      <family val="2"/>
    </font>
    <font>
      <b/>
      <sz val="9"/>
      <name val="돋움"/>
      <family val="3"/>
      <charset val="129"/>
    </font>
    <font>
      <b/>
      <sz val="9"/>
      <color indexed="81"/>
      <name val="Tahoma"/>
      <family val="2"/>
    </font>
    <font>
      <b/>
      <sz val="20"/>
      <color theme="1"/>
      <name val="돋움"/>
      <family val="3"/>
      <charset val="129"/>
    </font>
    <font>
      <sz val="20"/>
      <color theme="1"/>
      <name val="돋움"/>
      <family val="3"/>
      <charset val="129"/>
    </font>
    <font>
      <b/>
      <sz val="13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36"/>
      <color rgb="FF000000"/>
      <name val="맑은 고딕"/>
      <family val="3"/>
      <charset val="129"/>
    </font>
    <font>
      <sz val="12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8"/>
      <name val="굴림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inor"/>
    </font>
    <font>
      <sz val="20"/>
      <name val="돋움"/>
      <family val="3"/>
      <charset val="129"/>
    </font>
    <font>
      <b/>
      <sz val="13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2"/>
      <color theme="1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6"/>
      <name val="돋움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4.9989318521683403E-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67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41" fontId="6" fillId="2" borderId="8" xfId="1" applyFont="1" applyFill="1" applyBorder="1" applyAlignment="1">
      <alignment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41" fontId="10" fillId="0" borderId="8" xfId="1" applyFont="1" applyBorder="1" applyAlignment="1">
      <alignment horizontal="center" vertical="center" wrapText="1"/>
    </xf>
    <xf numFmtId="41" fontId="9" fillId="0" borderId="8" xfId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1" fontId="9" fillId="0" borderId="9" xfId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41" fontId="9" fillId="0" borderId="8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11" fillId="0" borderId="17" xfId="0" applyFont="1" applyBorder="1" applyAlignment="1">
      <alignment horizontal="left"/>
    </xf>
    <xf numFmtId="0" fontId="0" fillId="0" borderId="17" xfId="0" applyBorder="1"/>
    <xf numFmtId="0" fontId="14" fillId="0" borderId="0" xfId="2">
      <alignment vertical="center"/>
    </xf>
    <xf numFmtId="0" fontId="15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14" fillId="0" borderId="0" xfId="2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4" fillId="0" borderId="17" xfId="2" applyBorder="1">
      <alignment vertical="center"/>
    </xf>
    <xf numFmtId="176" fontId="7" fillId="3" borderId="50" xfId="0" applyNumberFormat="1" applyFont="1" applyFill="1" applyBorder="1" applyAlignment="1">
      <alignment vertical="center"/>
    </xf>
    <xf numFmtId="176" fontId="7" fillId="3" borderId="2" xfId="0" applyNumberFormat="1" applyFont="1" applyFill="1" applyBorder="1" applyAlignment="1">
      <alignment horizontal="right" vertical="center"/>
    </xf>
    <xf numFmtId="176" fontId="7" fillId="3" borderId="51" xfId="0" applyNumberFormat="1" applyFont="1" applyFill="1" applyBorder="1" applyAlignment="1">
      <alignment horizontal="right" vertical="center"/>
    </xf>
    <xf numFmtId="176" fontId="23" fillId="3" borderId="32" xfId="0" applyNumberFormat="1" applyFont="1" applyFill="1" applyBorder="1" applyAlignment="1">
      <alignment horizontal="right" vertical="center"/>
    </xf>
    <xf numFmtId="41" fontId="0" fillId="0" borderId="0" xfId="0" applyNumberFormat="1"/>
    <xf numFmtId="176" fontId="7" fillId="3" borderId="51" xfId="0" applyNumberFormat="1" applyFont="1" applyFill="1" applyBorder="1" applyAlignment="1">
      <alignment vertical="center"/>
    </xf>
    <xf numFmtId="176" fontId="7" fillId="3" borderId="52" xfId="0" applyNumberFormat="1" applyFont="1" applyFill="1" applyBorder="1" applyAlignment="1">
      <alignment vertical="center"/>
    </xf>
    <xf numFmtId="177" fontId="7" fillId="3" borderId="53" xfId="0" applyNumberFormat="1" applyFont="1" applyFill="1" applyBorder="1" applyAlignment="1">
      <alignment vertical="center"/>
    </xf>
    <xf numFmtId="0" fontId="23" fillId="3" borderId="73" xfId="0" applyFont="1" applyFill="1" applyBorder="1" applyAlignment="1">
      <alignment horizontal="center" vertical="center"/>
    </xf>
    <xf numFmtId="176" fontId="23" fillId="3" borderId="32" xfId="0" applyNumberFormat="1" applyFont="1" applyFill="1" applyBorder="1" applyAlignment="1">
      <alignment vertical="center"/>
    </xf>
    <xf numFmtId="176" fontId="23" fillId="3" borderId="0" xfId="0" applyNumberFormat="1" applyFont="1" applyFill="1" applyAlignment="1">
      <alignment vertical="center"/>
    </xf>
    <xf numFmtId="176" fontId="23" fillId="3" borderId="37" xfId="0" applyNumberFormat="1" applyFont="1" applyFill="1" applyBorder="1" applyAlignment="1">
      <alignment vertical="center"/>
    </xf>
    <xf numFmtId="176" fontId="23" fillId="3" borderId="51" xfId="0" applyNumberFormat="1" applyFont="1" applyFill="1" applyBorder="1" applyAlignment="1">
      <alignment vertical="center"/>
    </xf>
    <xf numFmtId="176" fontId="23" fillId="3" borderId="52" xfId="0" applyNumberFormat="1" applyFont="1" applyFill="1" applyBorder="1" applyAlignment="1">
      <alignment vertical="center"/>
    </xf>
    <xf numFmtId="176" fontId="23" fillId="3" borderId="25" xfId="0" applyNumberFormat="1" applyFont="1" applyFill="1" applyBorder="1" applyAlignment="1">
      <alignment vertical="center"/>
    </xf>
    <xf numFmtId="176" fontId="23" fillId="3" borderId="17" xfId="0" applyNumberFormat="1" applyFont="1" applyFill="1" applyBorder="1" applyAlignment="1">
      <alignment vertical="center"/>
    </xf>
    <xf numFmtId="176" fontId="23" fillId="3" borderId="31" xfId="0" applyNumberFormat="1" applyFont="1" applyFill="1" applyBorder="1" applyAlignment="1">
      <alignment vertical="center"/>
    </xf>
    <xf numFmtId="176" fontId="7" fillId="3" borderId="17" xfId="0" applyNumberFormat="1" applyFont="1" applyFill="1" applyBorder="1" applyAlignment="1">
      <alignment vertical="center"/>
    </xf>
    <xf numFmtId="0" fontId="0" fillId="3" borderId="0" xfId="0" applyFill="1"/>
    <xf numFmtId="0" fontId="23" fillId="3" borderId="19" xfId="0" applyFont="1" applyFill="1" applyBorder="1" applyAlignment="1">
      <alignment horizontal="center" vertical="center"/>
    </xf>
    <xf numFmtId="176" fontId="7" fillId="3" borderId="25" xfId="0" applyNumberFormat="1" applyFont="1" applyFill="1" applyBorder="1"/>
    <xf numFmtId="176" fontId="7" fillId="3" borderId="17" xfId="0" applyNumberFormat="1" applyFont="1" applyFill="1" applyBorder="1"/>
    <xf numFmtId="176" fontId="7" fillId="3" borderId="31" xfId="0" applyNumberFormat="1" applyFont="1" applyFill="1" applyBorder="1"/>
    <xf numFmtId="0" fontId="23" fillId="3" borderId="70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176" fontId="7" fillId="3" borderId="38" xfId="0" applyNumberFormat="1" applyFont="1" applyFill="1" applyBorder="1" applyAlignment="1">
      <alignment vertical="center" wrapText="1"/>
    </xf>
    <xf numFmtId="0" fontId="7" fillId="3" borderId="39" xfId="3" applyNumberFormat="1" applyFont="1" applyFill="1" applyBorder="1" applyAlignment="1">
      <alignment horizontal="center" vertical="center" wrapText="1"/>
    </xf>
    <xf numFmtId="0" fontId="7" fillId="3" borderId="40" xfId="3" applyNumberFormat="1" applyFont="1" applyFill="1" applyBorder="1" applyAlignment="1">
      <alignment horizontal="left" vertical="center" wrapText="1"/>
    </xf>
    <xf numFmtId="176" fontId="7" fillId="3" borderId="41" xfId="0" applyNumberFormat="1" applyFont="1" applyFill="1" applyBorder="1" applyAlignment="1">
      <alignment vertical="center"/>
    </xf>
    <xf numFmtId="176" fontId="7" fillId="3" borderId="42" xfId="0" applyNumberFormat="1" applyFont="1" applyFill="1" applyBorder="1" applyAlignment="1">
      <alignment vertical="center"/>
    </xf>
    <xf numFmtId="176" fontId="7" fillId="3" borderId="44" xfId="0" applyNumberFormat="1" applyFont="1" applyFill="1" applyBorder="1" applyAlignment="1">
      <alignment vertical="center" wrapText="1"/>
    </xf>
    <xf numFmtId="41" fontId="7" fillId="3" borderId="45" xfId="3" applyFont="1" applyFill="1" applyBorder="1" applyAlignment="1">
      <alignment horizontal="center" vertical="center" wrapText="1"/>
    </xf>
    <xf numFmtId="0" fontId="7" fillId="3" borderId="46" xfId="3" applyNumberFormat="1" applyFont="1" applyFill="1" applyBorder="1" applyAlignment="1">
      <alignment vertical="center" wrapText="1"/>
    </xf>
    <xf numFmtId="176" fontId="7" fillId="3" borderId="47" xfId="0" applyNumberFormat="1" applyFont="1" applyFill="1" applyBorder="1" applyAlignment="1">
      <alignment vertical="center"/>
    </xf>
    <xf numFmtId="176" fontId="7" fillId="3" borderId="48" xfId="0" applyNumberFormat="1" applyFont="1" applyFill="1" applyBorder="1" applyAlignment="1">
      <alignment vertical="center"/>
    </xf>
    <xf numFmtId="0" fontId="7" fillId="3" borderId="45" xfId="0" applyFont="1" applyFill="1" applyBorder="1" applyAlignment="1">
      <alignment horizontal="center" vertical="center" wrapText="1"/>
    </xf>
    <xf numFmtId="176" fontId="0" fillId="3" borderId="0" xfId="0" applyNumberFormat="1" applyFill="1"/>
    <xf numFmtId="41" fontId="0" fillId="3" borderId="0" xfId="3" applyFont="1" applyFill="1"/>
    <xf numFmtId="41" fontId="0" fillId="3" borderId="0" xfId="0" applyNumberFormat="1" applyFill="1"/>
    <xf numFmtId="3" fontId="7" fillId="3" borderId="45" xfId="0" applyNumberFormat="1" applyFont="1" applyFill="1" applyBorder="1" applyAlignment="1">
      <alignment horizontal="center" vertical="center" wrapText="1"/>
    </xf>
    <xf numFmtId="176" fontId="7" fillId="3" borderId="44" xfId="0" applyNumberFormat="1" applyFont="1" applyFill="1" applyBorder="1" applyAlignment="1">
      <alignment vertical="center"/>
    </xf>
    <xf numFmtId="176" fontId="7" fillId="3" borderId="28" xfId="0" applyNumberFormat="1" applyFont="1" applyFill="1" applyBorder="1" applyAlignment="1">
      <alignment vertical="center"/>
    </xf>
    <xf numFmtId="176" fontId="7" fillId="3" borderId="99" xfId="0" applyNumberFormat="1" applyFont="1" applyFill="1" applyBorder="1" applyAlignment="1">
      <alignment vertical="center" wrapText="1"/>
    </xf>
    <xf numFmtId="0" fontId="7" fillId="3" borderId="100" xfId="3" applyNumberFormat="1" applyFont="1" applyFill="1" applyBorder="1" applyAlignment="1">
      <alignment vertical="center" wrapText="1"/>
    </xf>
    <xf numFmtId="176" fontId="7" fillId="3" borderId="27" xfId="0" applyNumberFormat="1" applyFont="1" applyFill="1" applyBorder="1" applyAlignment="1">
      <alignment vertical="center"/>
    </xf>
    <xf numFmtId="176" fontId="23" fillId="3" borderId="25" xfId="0" applyNumberFormat="1" applyFont="1" applyFill="1" applyBorder="1" applyAlignment="1">
      <alignment vertical="center" wrapText="1"/>
    </xf>
    <xf numFmtId="176" fontId="7" fillId="3" borderId="40" xfId="0" applyNumberFormat="1" applyFont="1" applyFill="1" applyBorder="1" applyAlignment="1">
      <alignment vertical="center" wrapText="1"/>
    </xf>
    <xf numFmtId="176" fontId="7" fillId="3" borderId="46" xfId="0" applyNumberFormat="1" applyFont="1" applyFill="1" applyBorder="1" applyAlignment="1">
      <alignment vertical="center" wrapText="1"/>
    </xf>
    <xf numFmtId="3" fontId="7" fillId="3" borderId="39" xfId="3" applyNumberFormat="1" applyFont="1" applyFill="1" applyBorder="1" applyAlignment="1">
      <alignment horizontal="center" vertical="center" wrapText="1"/>
    </xf>
    <xf numFmtId="3" fontId="7" fillId="3" borderId="39" xfId="0" applyNumberFormat="1" applyFont="1" applyFill="1" applyBorder="1" applyAlignment="1">
      <alignment horizontal="center" vertical="center" wrapText="1"/>
    </xf>
    <xf numFmtId="176" fontId="23" fillId="3" borderId="33" xfId="0" applyNumberFormat="1" applyFont="1" applyFill="1" applyBorder="1" applyAlignment="1">
      <alignment vertical="center"/>
    </xf>
    <xf numFmtId="177" fontId="23" fillId="3" borderId="34" xfId="0" applyNumberFormat="1" applyFont="1" applyFill="1" applyBorder="1" applyAlignment="1">
      <alignment vertical="center"/>
    </xf>
    <xf numFmtId="0" fontId="24" fillId="3" borderId="52" xfId="0" applyFont="1" applyFill="1" applyBorder="1" applyAlignment="1">
      <alignment horizontal="left" vertical="center"/>
    </xf>
    <xf numFmtId="0" fontId="24" fillId="3" borderId="56" xfId="0" applyFont="1" applyFill="1" applyBorder="1" applyAlignment="1">
      <alignment horizontal="left" vertical="center"/>
    </xf>
    <xf numFmtId="176" fontId="7" fillId="3" borderId="57" xfId="0" applyNumberFormat="1" applyFont="1" applyFill="1" applyBorder="1" applyAlignment="1">
      <alignment vertical="center"/>
    </xf>
    <xf numFmtId="176" fontId="7" fillId="3" borderId="32" xfId="0" applyNumberFormat="1" applyFont="1" applyFill="1" applyBorder="1" applyAlignment="1">
      <alignment vertical="center"/>
    </xf>
    <xf numFmtId="176" fontId="7" fillId="3" borderId="33" xfId="0" applyNumberFormat="1" applyFont="1" applyFill="1" applyBorder="1" applyAlignment="1">
      <alignment vertical="center"/>
    </xf>
    <xf numFmtId="176" fontId="7" fillId="3" borderId="25" xfId="0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176" fontId="7" fillId="3" borderId="31" xfId="0" applyNumberFormat="1" applyFont="1" applyFill="1" applyBorder="1" applyAlignment="1">
      <alignment vertical="center"/>
    </xf>
    <xf numFmtId="176" fontId="7" fillId="3" borderId="20" xfId="0" applyNumberFormat="1" applyFont="1" applyFill="1" applyBorder="1" applyAlignment="1">
      <alignment vertical="center"/>
    </xf>
    <xf numFmtId="176" fontId="7" fillId="3" borderId="11" xfId="0" applyNumberFormat="1" applyFont="1" applyFill="1" applyBorder="1" applyAlignment="1">
      <alignment vertical="center"/>
    </xf>
    <xf numFmtId="176" fontId="7" fillId="3" borderId="12" xfId="0" applyNumberFormat="1" applyFont="1" applyFill="1" applyBorder="1" applyAlignment="1">
      <alignment vertical="center"/>
    </xf>
    <xf numFmtId="177" fontId="7" fillId="3" borderId="24" xfId="0" applyNumberFormat="1" applyFont="1" applyFill="1" applyBorder="1" applyAlignment="1">
      <alignment vertical="center"/>
    </xf>
    <xf numFmtId="176" fontId="7" fillId="3" borderId="26" xfId="0" applyNumberFormat="1" applyFont="1" applyFill="1" applyBorder="1" applyAlignment="1">
      <alignment vertical="center"/>
    </xf>
    <xf numFmtId="0" fontId="21" fillId="3" borderId="25" xfId="0" applyFont="1" applyFill="1" applyBorder="1" applyAlignment="1">
      <alignment horizontal="center" vertical="center"/>
    </xf>
    <xf numFmtId="176" fontId="21" fillId="3" borderId="32" xfId="0" applyNumberFormat="1" applyFont="1" applyFill="1" applyBorder="1" applyAlignment="1">
      <alignment horizontal="right" vertical="center"/>
    </xf>
    <xf numFmtId="176" fontId="21" fillId="3" borderId="33" xfId="0" applyNumberFormat="1" applyFont="1" applyFill="1" applyBorder="1" applyAlignment="1">
      <alignment horizontal="right" vertical="center"/>
    </xf>
    <xf numFmtId="176" fontId="21" fillId="3" borderId="34" xfId="0" applyNumberFormat="1" applyFont="1" applyFill="1" applyBorder="1" applyAlignment="1">
      <alignment horizontal="right" vertical="center"/>
    </xf>
    <xf numFmtId="0" fontId="21" fillId="3" borderId="85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0" fontId="21" fillId="3" borderId="84" xfId="0" applyFont="1" applyFill="1" applyBorder="1" applyAlignment="1">
      <alignment horizontal="center" vertical="center"/>
    </xf>
    <xf numFmtId="176" fontId="22" fillId="3" borderId="85" xfId="0" applyNumberFormat="1" applyFont="1" applyFill="1" applyBorder="1" applyAlignment="1">
      <alignment horizontal="center" vertical="center"/>
    </xf>
    <xf numFmtId="176" fontId="22" fillId="3" borderId="86" xfId="0" applyNumberFormat="1" applyFont="1" applyFill="1" applyBorder="1" applyAlignment="1">
      <alignment horizontal="center" vertical="center"/>
    </xf>
    <xf numFmtId="176" fontId="22" fillId="3" borderId="84" xfId="0" applyNumberFormat="1" applyFont="1" applyFill="1" applyBorder="1" applyAlignment="1">
      <alignment horizontal="center" vertical="center"/>
    </xf>
    <xf numFmtId="176" fontId="21" fillId="3" borderId="87" xfId="0" applyNumberFormat="1" applyFont="1" applyFill="1" applyBorder="1" applyAlignment="1">
      <alignment horizontal="right" vertical="center"/>
    </xf>
    <xf numFmtId="176" fontId="21" fillId="3" borderId="88" xfId="0" applyNumberFormat="1" applyFont="1" applyFill="1" applyBorder="1" applyAlignment="1">
      <alignment horizontal="right" vertical="center"/>
    </xf>
    <xf numFmtId="176" fontId="21" fillId="3" borderId="5" xfId="0" applyNumberFormat="1" applyFont="1" applyFill="1" applyBorder="1" applyAlignment="1">
      <alignment horizontal="right" vertical="center"/>
    </xf>
    <xf numFmtId="176" fontId="21" fillId="3" borderId="89" xfId="0" applyNumberFormat="1" applyFont="1" applyFill="1" applyBorder="1" applyAlignment="1">
      <alignment horizontal="right" vertical="center"/>
    </xf>
    <xf numFmtId="0" fontId="21" fillId="3" borderId="50" xfId="0" applyFont="1" applyFill="1" applyBorder="1" applyAlignment="1">
      <alignment horizontal="center" vertical="center"/>
    </xf>
    <xf numFmtId="0" fontId="21" fillId="3" borderId="9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176" fontId="7" fillId="3" borderId="20" xfId="0" applyNumberFormat="1" applyFont="1" applyFill="1" applyBorder="1"/>
    <xf numFmtId="176" fontId="7" fillId="3" borderId="21" xfId="0" applyNumberFormat="1" applyFont="1" applyFill="1" applyBorder="1"/>
    <xf numFmtId="176" fontId="7" fillId="3" borderId="6" xfId="0" applyNumberFormat="1" applyFont="1" applyFill="1" applyBorder="1"/>
    <xf numFmtId="176" fontId="23" fillId="3" borderId="2" xfId="0" applyNumberFormat="1" applyFont="1" applyFill="1" applyBorder="1"/>
    <xf numFmtId="176" fontId="23" fillId="3" borderId="3" xfId="0" applyNumberFormat="1" applyFont="1" applyFill="1" applyBorder="1"/>
    <xf numFmtId="177" fontId="23" fillId="3" borderId="24" xfId="0" applyNumberFormat="1" applyFont="1" applyFill="1" applyBorder="1"/>
    <xf numFmtId="0" fontId="23" fillId="3" borderId="19" xfId="0" applyFont="1" applyFill="1" applyBorder="1" applyAlignment="1">
      <alignment vertical="center"/>
    </xf>
    <xf numFmtId="176" fontId="23" fillId="3" borderId="32" xfId="0" applyNumberFormat="1" applyFont="1" applyFill="1" applyBorder="1"/>
    <xf numFmtId="176" fontId="23" fillId="3" borderId="33" xfId="0" applyNumberFormat="1" applyFont="1" applyFill="1" applyBorder="1"/>
    <xf numFmtId="177" fontId="23" fillId="3" borderId="34" xfId="0" applyNumberFormat="1" applyFont="1" applyFill="1" applyBorder="1"/>
    <xf numFmtId="0" fontId="23" fillId="3" borderId="81" xfId="0" applyFont="1" applyFill="1" applyBorder="1" applyAlignment="1">
      <alignment vertical="center"/>
    </xf>
    <xf numFmtId="176" fontId="23" fillId="3" borderId="101" xfId="0" applyNumberFormat="1" applyFont="1" applyFill="1" applyBorder="1" applyAlignment="1">
      <alignment vertical="center"/>
    </xf>
    <xf numFmtId="176" fontId="23" fillId="3" borderId="29" xfId="0" applyNumberFormat="1" applyFont="1" applyFill="1" applyBorder="1" applyAlignment="1">
      <alignment vertical="center"/>
    </xf>
    <xf numFmtId="177" fontId="23" fillId="3" borderId="30" xfId="0" applyNumberFormat="1" applyFont="1" applyFill="1" applyBorder="1"/>
    <xf numFmtId="0" fontId="23" fillId="3" borderId="37" xfId="0" applyFont="1" applyFill="1" applyBorder="1" applyAlignment="1">
      <alignment vertical="center"/>
    </xf>
    <xf numFmtId="0" fontId="23" fillId="3" borderId="37" xfId="0" applyFont="1" applyFill="1" applyBorder="1" applyAlignment="1">
      <alignment horizontal="center" vertical="center"/>
    </xf>
    <xf numFmtId="176" fontId="23" fillId="3" borderId="34" xfId="0" applyNumberFormat="1" applyFont="1" applyFill="1" applyBorder="1" applyAlignment="1">
      <alignment vertical="center"/>
    </xf>
    <xf numFmtId="177" fontId="7" fillId="3" borderId="43" xfId="0" applyNumberFormat="1" applyFont="1" applyFill="1" applyBorder="1" applyAlignment="1">
      <alignment vertical="center"/>
    </xf>
    <xf numFmtId="177" fontId="7" fillId="3" borderId="49" xfId="0" applyNumberFormat="1" applyFont="1" applyFill="1" applyBorder="1" applyAlignment="1">
      <alignment vertical="center"/>
    </xf>
    <xf numFmtId="177" fontId="0" fillId="3" borderId="0" xfId="0" applyNumberFormat="1" applyFill="1"/>
    <xf numFmtId="177" fontId="7" fillId="3" borderId="54" xfId="0" applyNumberFormat="1" applyFont="1" applyFill="1" applyBorder="1" applyAlignment="1">
      <alignment vertical="center"/>
    </xf>
    <xf numFmtId="0" fontId="7" fillId="3" borderId="31" xfId="3" applyNumberFormat="1" applyFont="1" applyFill="1" applyBorder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176" fontId="7" fillId="3" borderId="37" xfId="0" applyNumberFormat="1" applyFont="1" applyFill="1" applyBorder="1" applyAlignment="1">
      <alignment vertical="center" wrapText="1"/>
    </xf>
    <xf numFmtId="10" fontId="0" fillId="3" borderId="0" xfId="0" applyNumberFormat="1" applyFill="1"/>
    <xf numFmtId="176" fontId="26" fillId="3" borderId="44" xfId="0" applyNumberFormat="1" applyFont="1" applyFill="1" applyBorder="1" applyAlignment="1">
      <alignment vertical="center" wrapText="1"/>
    </xf>
    <xf numFmtId="176" fontId="26" fillId="3" borderId="47" xfId="0" applyNumberFormat="1" applyFont="1" applyFill="1" applyBorder="1" applyAlignment="1">
      <alignment vertical="center"/>
    </xf>
    <xf numFmtId="176" fontId="26" fillId="3" borderId="48" xfId="0" applyNumberFormat="1" applyFont="1" applyFill="1" applyBorder="1" applyAlignment="1">
      <alignment vertical="center"/>
    </xf>
    <xf numFmtId="177" fontId="26" fillId="3" borderId="49" xfId="0" applyNumberFormat="1" applyFont="1" applyFill="1" applyBorder="1" applyAlignment="1">
      <alignment vertical="center"/>
    </xf>
    <xf numFmtId="176" fontId="7" fillId="3" borderId="58" xfId="0" applyNumberFormat="1" applyFont="1" applyFill="1" applyBorder="1" applyAlignment="1">
      <alignment vertical="center" wrapText="1"/>
    </xf>
    <xf numFmtId="176" fontId="7" fillId="3" borderId="61" xfId="0" applyNumberFormat="1" applyFont="1" applyFill="1" applyBorder="1" applyAlignment="1">
      <alignment vertical="center"/>
    </xf>
    <xf numFmtId="176" fontId="7" fillId="3" borderId="62" xfId="0" applyNumberFormat="1" applyFont="1" applyFill="1" applyBorder="1" applyAlignment="1">
      <alignment vertical="center"/>
    </xf>
    <xf numFmtId="177" fontId="7" fillId="3" borderId="63" xfId="0" applyNumberFormat="1" applyFont="1" applyFill="1" applyBorder="1" applyAlignment="1">
      <alignment vertical="center"/>
    </xf>
    <xf numFmtId="176" fontId="7" fillId="3" borderId="3" xfId="0" applyNumberFormat="1" applyFont="1" applyFill="1" applyBorder="1" applyAlignment="1">
      <alignment vertical="center"/>
    </xf>
    <xf numFmtId="176" fontId="23" fillId="3" borderId="19" xfId="0" applyNumberFormat="1" applyFont="1" applyFill="1" applyBorder="1" applyAlignment="1">
      <alignment vertical="center"/>
    </xf>
    <xf numFmtId="176" fontId="7" fillId="3" borderId="25" xfId="0" applyNumberFormat="1" applyFont="1" applyFill="1" applyBorder="1" applyAlignment="1">
      <alignment vertical="center"/>
    </xf>
    <xf numFmtId="176" fontId="23" fillId="3" borderId="53" xfId="0" applyNumberFormat="1" applyFont="1" applyFill="1" applyBorder="1" applyAlignment="1">
      <alignment vertical="center"/>
    </xf>
    <xf numFmtId="0" fontId="23" fillId="3" borderId="65" xfId="0" applyFont="1" applyFill="1" applyBorder="1" applyAlignment="1">
      <alignment horizontal="center" vertical="center"/>
    </xf>
    <xf numFmtId="0" fontId="23" fillId="3" borderId="66" xfId="0" applyFont="1" applyFill="1" applyBorder="1" applyAlignment="1">
      <alignment horizontal="center" vertical="center"/>
    </xf>
    <xf numFmtId="176" fontId="23" fillId="3" borderId="67" xfId="0" applyNumberFormat="1" applyFont="1" applyFill="1" applyBorder="1" applyAlignment="1">
      <alignment vertical="center"/>
    </xf>
    <xf numFmtId="176" fontId="23" fillId="3" borderId="68" xfId="0" applyNumberFormat="1" applyFont="1" applyFill="1" applyBorder="1" applyAlignment="1">
      <alignment vertical="center"/>
    </xf>
    <xf numFmtId="176" fontId="23" fillId="3" borderId="69" xfId="0" applyNumberFormat="1" applyFont="1" applyFill="1" applyBorder="1" applyAlignment="1">
      <alignment vertical="center"/>
    </xf>
    <xf numFmtId="176" fontId="23" fillId="3" borderId="13" xfId="0" applyNumberFormat="1" applyFont="1" applyFill="1" applyBorder="1" applyAlignment="1">
      <alignment vertical="center"/>
    </xf>
    <xf numFmtId="176" fontId="23" fillId="3" borderId="14" xfId="0" applyNumberFormat="1" applyFont="1" applyFill="1" applyBorder="1" applyAlignment="1">
      <alignment vertical="center"/>
    </xf>
    <xf numFmtId="177" fontId="23" fillId="3" borderId="33" xfId="0" applyNumberFormat="1" applyFont="1" applyFill="1" applyBorder="1" applyAlignment="1">
      <alignment vertical="center"/>
    </xf>
    <xf numFmtId="177" fontId="7" fillId="3" borderId="28" xfId="0" applyNumberFormat="1" applyFont="1" applyFill="1" applyBorder="1" applyAlignment="1">
      <alignment vertical="center"/>
    </xf>
    <xf numFmtId="177" fontId="7" fillId="3" borderId="52" xfId="0" applyNumberFormat="1" applyFont="1" applyFill="1" applyBorder="1" applyAlignment="1">
      <alignment vertical="center"/>
    </xf>
    <xf numFmtId="176" fontId="23" fillId="3" borderId="71" xfId="0" applyNumberFormat="1" applyFont="1" applyFill="1" applyBorder="1" applyAlignment="1">
      <alignment vertical="center"/>
    </xf>
    <xf numFmtId="0" fontId="23" fillId="3" borderId="72" xfId="0" applyFont="1" applyFill="1" applyBorder="1" applyAlignment="1">
      <alignment horizontal="center" vertical="center"/>
    </xf>
    <xf numFmtId="41" fontId="0" fillId="3" borderId="0" xfId="3" applyFont="1" applyFill="1" applyBorder="1"/>
    <xf numFmtId="0" fontId="23" fillId="3" borderId="74" xfId="0" applyFont="1" applyFill="1" applyBorder="1" applyAlignment="1">
      <alignment horizontal="center" vertical="center"/>
    </xf>
    <xf numFmtId="177" fontId="7" fillId="3" borderId="75" xfId="0" applyNumberFormat="1" applyFont="1" applyFill="1" applyBorder="1" applyAlignment="1">
      <alignment vertical="center"/>
    </xf>
    <xf numFmtId="176" fontId="7" fillId="3" borderId="76" xfId="0" applyNumberFormat="1" applyFont="1" applyFill="1" applyBorder="1" applyAlignment="1">
      <alignment vertical="center"/>
    </xf>
    <xf numFmtId="176" fontId="7" fillId="3" borderId="77" xfId="0" applyNumberFormat="1" applyFont="1" applyFill="1" applyBorder="1" applyAlignment="1">
      <alignment vertical="center"/>
    </xf>
    <xf numFmtId="176" fontId="7" fillId="3" borderId="78" xfId="0" applyNumberFormat="1" applyFont="1" applyFill="1" applyBorder="1" applyAlignment="1">
      <alignment vertical="center"/>
    </xf>
    <xf numFmtId="176" fontId="7" fillId="3" borderId="79" xfId="0" applyNumberFormat="1" applyFont="1" applyFill="1" applyBorder="1" applyAlignment="1">
      <alignment vertical="center"/>
    </xf>
    <xf numFmtId="176" fontId="7" fillId="3" borderId="80" xfId="0" applyNumberFormat="1" applyFont="1" applyFill="1" applyBorder="1" applyAlignment="1">
      <alignment vertical="center"/>
    </xf>
    <xf numFmtId="41" fontId="7" fillId="3" borderId="80" xfId="3" applyFont="1" applyFill="1" applyBorder="1" applyAlignment="1">
      <alignment vertical="center"/>
    </xf>
    <xf numFmtId="0" fontId="23" fillId="3" borderId="36" xfId="0" applyFont="1" applyFill="1" applyBorder="1" applyAlignment="1">
      <alignment horizontal="center"/>
    </xf>
    <xf numFmtId="0" fontId="0" fillId="3" borderId="37" xfId="0" applyFill="1" applyBorder="1"/>
    <xf numFmtId="0" fontId="0" fillId="3" borderId="64" xfId="0" applyFill="1" applyBorder="1"/>
    <xf numFmtId="41" fontId="0" fillId="3" borderId="52" xfId="3" applyFont="1" applyFill="1" applyBorder="1"/>
    <xf numFmtId="41" fontId="7" fillId="3" borderId="52" xfId="3" applyFont="1" applyFill="1" applyBorder="1"/>
    <xf numFmtId="0" fontId="0" fillId="3" borderId="81" xfId="0" applyFill="1" applyBorder="1"/>
    <xf numFmtId="0" fontId="23" fillId="3" borderId="81" xfId="0" applyFont="1" applyFill="1" applyBorder="1" applyAlignment="1">
      <alignment horizontal="center"/>
    </xf>
    <xf numFmtId="0" fontId="0" fillId="3" borderId="1" xfId="0" applyFill="1" applyBorder="1"/>
    <xf numFmtId="0" fontId="0" fillId="3" borderId="16" xfId="0" applyFill="1" applyBorder="1"/>
    <xf numFmtId="0" fontId="0" fillId="3" borderId="82" xfId="0" applyFill="1" applyBorder="1"/>
    <xf numFmtId="41" fontId="0" fillId="3" borderId="29" xfId="3" applyFont="1" applyFill="1" applyBorder="1"/>
    <xf numFmtId="41" fontId="7" fillId="3" borderId="29" xfId="3" applyFont="1" applyFill="1" applyBorder="1"/>
    <xf numFmtId="177" fontId="7" fillId="3" borderId="83" xfId="0" applyNumberFormat="1" applyFont="1" applyFill="1" applyBorder="1" applyAlignment="1">
      <alignment vertical="center"/>
    </xf>
    <xf numFmtId="177" fontId="7" fillId="3" borderId="107" xfId="0" applyNumberFormat="1" applyFont="1" applyFill="1" applyBorder="1" applyAlignment="1">
      <alignment vertical="center"/>
    </xf>
    <xf numFmtId="3" fontId="7" fillId="3" borderId="55" xfId="0" applyNumberFormat="1" applyFont="1" applyFill="1" applyBorder="1" applyAlignment="1">
      <alignment horizontal="center" vertical="center" wrapText="1"/>
    </xf>
    <xf numFmtId="0" fontId="22" fillId="0" borderId="133" xfId="0" applyFont="1" applyBorder="1"/>
    <xf numFmtId="0" fontId="22" fillId="3" borderId="133" xfId="0" applyFont="1" applyFill="1" applyBorder="1"/>
    <xf numFmtId="0" fontId="14" fillId="3" borderId="0" xfId="2" applyFill="1">
      <alignment vertical="center"/>
    </xf>
    <xf numFmtId="0" fontId="31" fillId="3" borderId="0" xfId="2" applyFont="1" applyFill="1" applyAlignment="1">
      <alignment horizontal="center" vertical="center"/>
    </xf>
    <xf numFmtId="41" fontId="31" fillId="3" borderId="0" xfId="1" applyFont="1" applyFill="1" applyAlignment="1">
      <alignment horizontal="center" vertical="center"/>
    </xf>
    <xf numFmtId="41" fontId="14" fillId="3" borderId="0" xfId="1" applyFont="1" applyFill="1">
      <alignment vertical="center"/>
    </xf>
    <xf numFmtId="41" fontId="33" fillId="3" borderId="8" xfId="1" applyFont="1" applyFill="1" applyBorder="1" applyAlignment="1">
      <alignment horizontal="center" vertical="center" shrinkToFit="1"/>
    </xf>
    <xf numFmtId="41" fontId="33" fillId="8" borderId="8" xfId="1" applyFont="1" applyFill="1" applyBorder="1" applyAlignment="1">
      <alignment horizontal="center" vertical="center" shrinkToFit="1"/>
    </xf>
    <xf numFmtId="41" fontId="33" fillId="8" borderId="8" xfId="1" applyFont="1" applyFill="1" applyBorder="1" applyAlignment="1">
      <alignment horizontal="left" vertical="center" indent="1" shrinkToFit="1"/>
    </xf>
    <xf numFmtId="0" fontId="33" fillId="3" borderId="97" xfId="2" applyFont="1" applyFill="1" applyBorder="1" applyAlignment="1">
      <alignment horizontal="center" vertical="center" shrinkToFit="1"/>
    </xf>
    <xf numFmtId="41" fontId="33" fillId="3" borderId="8" xfId="1" applyFont="1" applyFill="1" applyBorder="1" applyAlignment="1">
      <alignment horizontal="left" vertical="center" shrinkToFit="1"/>
    </xf>
    <xf numFmtId="0" fontId="33" fillId="8" borderId="106" xfId="2" applyFont="1" applyFill="1" applyBorder="1" applyAlignment="1">
      <alignment horizontal="center" vertical="center" shrinkToFit="1"/>
    </xf>
    <xf numFmtId="41" fontId="33" fillId="8" borderId="8" xfId="1" applyFont="1" applyFill="1" applyBorder="1" applyAlignment="1">
      <alignment horizontal="left" vertical="center" shrinkToFit="1"/>
    </xf>
    <xf numFmtId="0" fontId="33" fillId="3" borderId="106" xfId="2" applyFont="1" applyFill="1" applyBorder="1" applyAlignment="1">
      <alignment horizontal="center" vertical="center" wrapText="1" shrinkToFit="1"/>
    </xf>
    <xf numFmtId="41" fontId="14" fillId="3" borderId="0" xfId="2" applyNumberFormat="1" applyFill="1">
      <alignment vertical="center"/>
    </xf>
    <xf numFmtId="41" fontId="19" fillId="3" borderId="17" xfId="1" applyFont="1" applyFill="1" applyBorder="1" applyAlignment="1">
      <alignment horizontal="left" vertical="center"/>
    </xf>
    <xf numFmtId="41" fontId="14" fillId="3" borderId="17" xfId="1" applyFont="1" applyFill="1" applyBorder="1">
      <alignment vertical="center"/>
    </xf>
    <xf numFmtId="41" fontId="33" fillId="4" borderId="8" xfId="1" applyFont="1" applyFill="1" applyBorder="1" applyAlignment="1">
      <alignment vertical="center" shrinkToFit="1"/>
    </xf>
    <xf numFmtId="176" fontId="23" fillId="3" borderId="25" xfId="0" applyNumberFormat="1" applyFont="1" applyFill="1" applyBorder="1" applyAlignment="1">
      <alignment horizontal="left" vertical="center"/>
    </xf>
    <xf numFmtId="176" fontId="23" fillId="3" borderId="17" xfId="0" applyNumberFormat="1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176" fontId="7" fillId="3" borderId="31" xfId="0" applyNumberFormat="1" applyFont="1" applyFill="1" applyBorder="1" applyAlignment="1">
      <alignment horizontal="left" vertical="center" wrapText="1"/>
    </xf>
    <xf numFmtId="176" fontId="7" fillId="3" borderId="50" xfId="0" applyNumberFormat="1" applyFont="1" applyFill="1" applyBorder="1" applyAlignment="1">
      <alignment vertical="center" wrapText="1"/>
    </xf>
    <xf numFmtId="176" fontId="7" fillId="3" borderId="0" xfId="0" applyNumberFormat="1" applyFont="1" applyFill="1" applyAlignment="1">
      <alignment vertical="center"/>
    </xf>
    <xf numFmtId="176" fontId="7" fillId="3" borderId="37" xfId="0" applyNumberFormat="1" applyFont="1" applyFill="1" applyBorder="1" applyAlignment="1">
      <alignment vertical="center"/>
    </xf>
    <xf numFmtId="176" fontId="23" fillId="3" borderId="31" xfId="0" applyNumberFormat="1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 wrapText="1"/>
    </xf>
    <xf numFmtId="176" fontId="7" fillId="3" borderId="50" xfId="0" applyNumberFormat="1" applyFont="1" applyFill="1" applyBorder="1" applyAlignment="1">
      <alignment horizontal="left" vertical="center"/>
    </xf>
    <xf numFmtId="176" fontId="23" fillId="9" borderId="25" xfId="0" applyNumberFormat="1" applyFont="1" applyFill="1" applyBorder="1" applyAlignment="1">
      <alignment vertical="center"/>
    </xf>
    <xf numFmtId="176" fontId="23" fillId="9" borderId="17" xfId="0" applyNumberFormat="1" applyFont="1" applyFill="1" applyBorder="1" applyAlignment="1">
      <alignment vertical="center"/>
    </xf>
    <xf numFmtId="176" fontId="23" fillId="9" borderId="31" xfId="0" applyNumberFormat="1" applyFont="1" applyFill="1" applyBorder="1" applyAlignment="1">
      <alignment vertical="center"/>
    </xf>
    <xf numFmtId="176" fontId="23" fillId="9" borderId="32" xfId="0" applyNumberFormat="1" applyFont="1" applyFill="1" applyBorder="1" applyAlignment="1">
      <alignment vertical="center"/>
    </xf>
    <xf numFmtId="176" fontId="23" fillId="9" borderId="33" xfId="0" applyNumberFormat="1" applyFont="1" applyFill="1" applyBorder="1" applyAlignment="1">
      <alignment vertical="center"/>
    </xf>
    <xf numFmtId="176" fontId="23" fillId="9" borderId="34" xfId="0" applyNumberFormat="1" applyFont="1" applyFill="1" applyBorder="1" applyAlignment="1">
      <alignment vertical="center"/>
    </xf>
    <xf numFmtId="41" fontId="25" fillId="9" borderId="8" xfId="2" applyNumberFormat="1" applyFont="1" applyFill="1" applyBorder="1">
      <alignment vertical="center"/>
    </xf>
    <xf numFmtId="176" fontId="7" fillId="9" borderId="52" xfId="0" applyNumberFormat="1" applyFont="1" applyFill="1" applyBorder="1" applyAlignment="1">
      <alignment vertical="center"/>
    </xf>
    <xf numFmtId="176" fontId="23" fillId="9" borderId="52" xfId="0" applyNumberFormat="1" applyFont="1" applyFill="1" applyBorder="1" applyAlignment="1">
      <alignment vertical="center"/>
    </xf>
    <xf numFmtId="176" fontId="7" fillId="9" borderId="53" xfId="0" applyNumberFormat="1" applyFont="1" applyFill="1" applyBorder="1" applyAlignment="1">
      <alignment vertical="center"/>
    </xf>
    <xf numFmtId="0" fontId="21" fillId="9" borderId="95" xfId="0" applyFont="1" applyFill="1" applyBorder="1" applyAlignment="1">
      <alignment horizontal="center" vertical="center"/>
    </xf>
    <xf numFmtId="176" fontId="22" fillId="9" borderId="93" xfId="0" applyNumberFormat="1" applyFont="1" applyFill="1" applyBorder="1" applyAlignment="1">
      <alignment horizontal="center" vertical="center"/>
    </xf>
    <xf numFmtId="176" fontId="22" fillId="9" borderId="94" xfId="0" applyNumberFormat="1" applyFont="1" applyFill="1" applyBorder="1" applyAlignment="1">
      <alignment horizontal="center" vertical="center"/>
    </xf>
    <xf numFmtId="176" fontId="22" fillId="9" borderId="95" xfId="0" applyNumberFormat="1" applyFont="1" applyFill="1" applyBorder="1" applyAlignment="1">
      <alignment horizontal="center" vertical="center"/>
    </xf>
    <xf numFmtId="176" fontId="21" fillId="9" borderId="96" xfId="0" applyNumberFormat="1" applyFont="1" applyFill="1" applyBorder="1" applyAlignment="1">
      <alignment horizontal="right" vertical="center"/>
    </xf>
    <xf numFmtId="176" fontId="21" fillId="9" borderId="97" xfId="0" applyNumberFormat="1" applyFont="1" applyFill="1" applyBorder="1" applyAlignment="1">
      <alignment horizontal="right" vertical="center"/>
    </xf>
    <xf numFmtId="176" fontId="21" fillId="9" borderId="56" xfId="0" applyNumberFormat="1" applyFont="1" applyFill="1" applyBorder="1" applyAlignment="1">
      <alignment horizontal="right" vertical="center"/>
    </xf>
    <xf numFmtId="176" fontId="21" fillId="9" borderId="98" xfId="0" applyNumberFormat="1" applyFont="1" applyFill="1" applyBorder="1" applyAlignment="1">
      <alignment horizontal="right" vertical="center"/>
    </xf>
    <xf numFmtId="0" fontId="21" fillId="9" borderId="92" xfId="0" applyFont="1" applyFill="1" applyBorder="1" applyAlignment="1">
      <alignment horizontal="center" vertical="center"/>
    </xf>
    <xf numFmtId="0" fontId="21" fillId="9" borderId="66" xfId="0" applyFont="1" applyFill="1" applyBorder="1" applyAlignment="1">
      <alignment horizontal="center" vertical="center"/>
    </xf>
    <xf numFmtId="176" fontId="22" fillId="9" borderId="67" xfId="0" applyNumberFormat="1" applyFont="1" applyFill="1" applyBorder="1" applyAlignment="1">
      <alignment horizontal="center" vertical="center"/>
    </xf>
    <xf numFmtId="176" fontId="22" fillId="9" borderId="68" xfId="0" applyNumberFormat="1" applyFont="1" applyFill="1" applyBorder="1" applyAlignment="1">
      <alignment horizontal="center" vertical="center"/>
    </xf>
    <xf numFmtId="176" fontId="22" fillId="9" borderId="69" xfId="0" applyNumberFormat="1" applyFont="1" applyFill="1" applyBorder="1" applyAlignment="1">
      <alignment horizontal="center" vertical="center"/>
    </xf>
    <xf numFmtId="176" fontId="21" fillId="9" borderId="13" xfId="0" applyNumberFormat="1" applyFont="1" applyFill="1" applyBorder="1" applyAlignment="1">
      <alignment horizontal="right" vertical="center"/>
    </xf>
    <xf numFmtId="176" fontId="21" fillId="9" borderId="90" xfId="0" applyNumberFormat="1" applyFont="1" applyFill="1" applyBorder="1" applyAlignment="1">
      <alignment horizontal="right" vertical="center"/>
    </xf>
    <xf numFmtId="176" fontId="21" fillId="9" borderId="14" xfId="0" applyNumberFormat="1" applyFont="1" applyFill="1" applyBorder="1" applyAlignment="1">
      <alignment horizontal="right" vertical="center"/>
    </xf>
    <xf numFmtId="176" fontId="21" fillId="9" borderId="91" xfId="0" applyNumberFormat="1" applyFont="1" applyFill="1" applyBorder="1" applyAlignment="1">
      <alignment horizontal="right" vertical="center"/>
    </xf>
    <xf numFmtId="176" fontId="7" fillId="9" borderId="50" xfId="0" applyNumberFormat="1" applyFont="1" applyFill="1" applyBorder="1" applyAlignment="1">
      <alignment vertical="center"/>
    </xf>
    <xf numFmtId="176" fontId="7" fillId="9" borderId="0" xfId="0" applyNumberFormat="1" applyFont="1" applyFill="1" applyAlignment="1">
      <alignment vertical="center"/>
    </xf>
    <xf numFmtId="176" fontId="7" fillId="9" borderId="37" xfId="0" applyNumberFormat="1" applyFont="1" applyFill="1" applyBorder="1" applyAlignment="1">
      <alignment vertical="center"/>
    </xf>
    <xf numFmtId="176" fontId="7" fillId="9" borderId="51" xfId="0" applyNumberFormat="1" applyFont="1" applyFill="1" applyBorder="1" applyAlignment="1">
      <alignment horizontal="right" vertical="center"/>
    </xf>
    <xf numFmtId="177" fontId="7" fillId="9" borderId="53" xfId="0" applyNumberFormat="1" applyFont="1" applyFill="1" applyBorder="1" applyAlignment="1">
      <alignment vertical="center"/>
    </xf>
    <xf numFmtId="176" fontId="7" fillId="9" borderId="31" xfId="0" applyNumberFormat="1" applyFont="1" applyFill="1" applyBorder="1" applyAlignment="1">
      <alignment vertical="center"/>
    </xf>
    <xf numFmtId="176" fontId="23" fillId="9" borderId="32" xfId="0" applyNumberFormat="1" applyFont="1" applyFill="1" applyBorder="1" applyAlignment="1">
      <alignment horizontal="right" vertical="center"/>
    </xf>
    <xf numFmtId="176" fontId="7" fillId="9" borderId="33" xfId="0" applyNumberFormat="1" applyFont="1" applyFill="1" applyBorder="1" applyAlignment="1">
      <alignment vertical="center"/>
    </xf>
    <xf numFmtId="177" fontId="23" fillId="9" borderId="34" xfId="0" applyNumberFormat="1" applyFont="1" applyFill="1" applyBorder="1" applyAlignment="1">
      <alignment vertical="center"/>
    </xf>
    <xf numFmtId="176" fontId="7" fillId="9" borderId="64" xfId="0" applyNumberFormat="1" applyFont="1" applyFill="1" applyBorder="1" applyAlignment="1">
      <alignment horizontal="right" vertical="center"/>
    </xf>
    <xf numFmtId="176" fontId="7" fillId="9" borderId="51" xfId="0" applyNumberFormat="1" applyFont="1" applyFill="1" applyBorder="1" applyAlignment="1">
      <alignment vertical="center"/>
    </xf>
    <xf numFmtId="0" fontId="35" fillId="0" borderId="18" xfId="2" applyFont="1" applyBorder="1" applyAlignment="1">
      <alignment horizontal="center" vertical="center" wrapText="1"/>
    </xf>
    <xf numFmtId="41" fontId="36" fillId="0" borderId="0" xfId="0" applyNumberFormat="1" applyFont="1" applyAlignment="1">
      <alignment horizontal="left"/>
    </xf>
    <xf numFmtId="41" fontId="0" fillId="0" borderId="0" xfId="1" applyFont="1" applyAlignment="1"/>
    <xf numFmtId="41" fontId="21" fillId="0" borderId="25" xfId="1" applyFont="1" applyBorder="1" applyAlignment="1">
      <alignment horizontal="center" vertical="center"/>
    </xf>
    <xf numFmtId="41" fontId="39" fillId="0" borderId="25" xfId="1" applyFont="1" applyBorder="1" applyAlignment="1">
      <alignment horizontal="center" vertical="center"/>
    </xf>
    <xf numFmtId="41" fontId="39" fillId="0" borderId="19" xfId="1" applyFont="1" applyBorder="1" applyAlignment="1">
      <alignment horizontal="center" vertical="center"/>
    </xf>
    <xf numFmtId="41" fontId="39" fillId="0" borderId="31" xfId="1" applyFont="1" applyBorder="1" applyAlignment="1">
      <alignment horizontal="center" vertical="center"/>
    </xf>
    <xf numFmtId="41" fontId="40" fillId="0" borderId="25" xfId="1" applyFont="1" applyBorder="1" applyAlignment="1">
      <alignment vertical="center"/>
    </xf>
    <xf numFmtId="41" fontId="40" fillId="0" borderId="17" xfId="1" applyFont="1" applyBorder="1" applyAlignment="1">
      <alignment vertical="center"/>
    </xf>
    <xf numFmtId="41" fontId="23" fillId="0" borderId="85" xfId="1" applyFont="1" applyBorder="1" applyAlignment="1">
      <alignment horizontal="center" vertical="center"/>
    </xf>
    <xf numFmtId="41" fontId="23" fillId="0" borderId="35" xfId="1" applyFont="1" applyBorder="1" applyAlignment="1">
      <alignment horizontal="center" vertical="center"/>
    </xf>
    <xf numFmtId="41" fontId="7" fillId="0" borderId="85" xfId="1" applyFont="1" applyBorder="1" applyAlignment="1">
      <alignment horizontal="center" vertical="center"/>
    </xf>
    <xf numFmtId="41" fontId="7" fillId="0" borderId="86" xfId="1" applyFont="1" applyBorder="1" applyAlignment="1">
      <alignment horizontal="center" vertical="center"/>
    </xf>
    <xf numFmtId="41" fontId="23" fillId="0" borderId="67" xfId="1" applyFont="1" applyBorder="1" applyAlignment="1">
      <alignment horizontal="center" vertical="center"/>
    </xf>
    <xf numFmtId="41" fontId="23" fillId="0" borderId="66" xfId="1" applyFont="1" applyBorder="1" applyAlignment="1">
      <alignment horizontal="center" vertical="center"/>
    </xf>
    <xf numFmtId="41" fontId="7" fillId="0" borderId="67" xfId="1" applyFont="1" applyBorder="1" applyAlignment="1">
      <alignment horizontal="center" vertical="center"/>
    </xf>
    <xf numFmtId="41" fontId="7" fillId="0" borderId="68" xfId="1" applyFont="1" applyBorder="1" applyAlignment="1">
      <alignment horizontal="center" vertical="center"/>
    </xf>
    <xf numFmtId="41" fontId="23" fillId="0" borderId="93" xfId="1" applyFont="1" applyBorder="1" applyAlignment="1">
      <alignment horizontal="center" vertical="center"/>
    </xf>
    <xf numFmtId="41" fontId="23" fillId="0" borderId="92" xfId="1" applyFont="1" applyBorder="1" applyAlignment="1">
      <alignment horizontal="center" vertical="center"/>
    </xf>
    <xf numFmtId="41" fontId="7" fillId="0" borderId="146" xfId="1" applyFont="1" applyBorder="1" applyAlignment="1">
      <alignment horizontal="center" vertical="center"/>
    </xf>
    <xf numFmtId="41" fontId="7" fillId="0" borderId="50" xfId="1" applyFont="1" applyBorder="1" applyAlignment="1">
      <alignment vertical="center"/>
    </xf>
    <xf numFmtId="41" fontId="7" fillId="0" borderId="59" xfId="1" applyFont="1" applyBorder="1" applyAlignment="1">
      <alignment horizontal="center" vertical="center"/>
    </xf>
    <xf numFmtId="41" fontId="7" fillId="0" borderId="147" xfId="1" applyFont="1" applyBorder="1" applyAlignment="1">
      <alignment horizontal="center" vertical="center"/>
    </xf>
    <xf numFmtId="41" fontId="23" fillId="0" borderId="19" xfId="1" applyFont="1" applyBorder="1" applyAlignment="1">
      <alignment horizontal="center" vertical="center"/>
    </xf>
    <xf numFmtId="41" fontId="7" fillId="0" borderId="20" xfId="1" applyFont="1" applyBorder="1" applyAlignment="1"/>
    <xf numFmtId="41" fontId="7" fillId="0" borderId="21" xfId="1" applyFont="1" applyBorder="1" applyAlignment="1"/>
    <xf numFmtId="41" fontId="23" fillId="0" borderId="70" xfId="1" applyFont="1" applyBorder="1" applyAlignment="1"/>
    <xf numFmtId="41" fontId="23" fillId="0" borderId="36" xfId="1" applyFont="1" applyBorder="1" applyAlignment="1">
      <alignment horizontal="center" vertical="center"/>
    </xf>
    <xf numFmtId="41" fontId="23" fillId="0" borderId="66" xfId="1" applyFont="1" applyBorder="1" applyAlignment="1">
      <alignment vertical="center"/>
    </xf>
    <xf numFmtId="41" fontId="23" fillId="0" borderId="67" xfId="1" applyFont="1" applyBorder="1" applyAlignment="1">
      <alignment vertical="center"/>
    </xf>
    <xf numFmtId="41" fontId="23" fillId="0" borderId="81" xfId="1" applyFont="1" applyBorder="1" applyAlignment="1">
      <alignment vertical="center"/>
    </xf>
    <xf numFmtId="41" fontId="7" fillId="0" borderId="26" xfId="1" applyFont="1" applyBorder="1" applyAlignment="1"/>
    <xf numFmtId="41" fontId="7" fillId="0" borderId="1" xfId="1" applyFont="1" applyBorder="1" applyAlignment="1"/>
    <xf numFmtId="41" fontId="23" fillId="0" borderId="81" xfId="1" applyFont="1" applyBorder="1" applyAlignment="1"/>
    <xf numFmtId="41" fontId="23" fillId="10" borderId="25" xfId="1" applyFont="1" applyFill="1" applyBorder="1" applyAlignment="1">
      <alignment vertical="center"/>
    </xf>
    <xf numFmtId="41" fontId="23" fillId="0" borderId="25" xfId="1" applyFont="1" applyBorder="1" applyAlignment="1">
      <alignment vertical="center"/>
    </xf>
    <xf numFmtId="41" fontId="23" fillId="0" borderId="34" xfId="1" applyFont="1" applyBorder="1" applyAlignment="1"/>
    <xf numFmtId="41" fontId="23" fillId="0" borderId="37" xfId="1" applyFont="1" applyBorder="1" applyAlignment="1">
      <alignment horizontal="center" vertical="center"/>
    </xf>
    <xf numFmtId="41" fontId="23" fillId="0" borderId="0" xfId="1" applyFont="1" applyBorder="1" applyAlignment="1">
      <alignment horizontal="center" vertical="center"/>
    </xf>
    <xf numFmtId="41" fontId="23" fillId="0" borderId="70" xfId="1" applyFont="1" applyBorder="1" applyAlignment="1">
      <alignment horizontal="center" vertical="center"/>
    </xf>
    <xf numFmtId="41" fontId="23" fillId="0" borderId="17" xfId="1" applyFont="1" applyBorder="1" applyAlignment="1">
      <alignment vertical="center"/>
    </xf>
    <xf numFmtId="41" fontId="23" fillId="0" borderId="31" xfId="1" applyFont="1" applyBorder="1" applyAlignment="1">
      <alignment vertical="center"/>
    </xf>
    <xf numFmtId="41" fontId="23" fillId="0" borderId="34" xfId="1" applyFont="1" applyBorder="1" applyAlignment="1">
      <alignment vertical="center"/>
    </xf>
    <xf numFmtId="41" fontId="7" fillId="0" borderId="38" xfId="1" applyFont="1" applyFill="1" applyBorder="1" applyAlignment="1">
      <alignment vertical="center" wrapText="1"/>
    </xf>
    <xf numFmtId="41" fontId="7" fillId="0" borderId="39" xfId="1" applyFont="1" applyFill="1" applyBorder="1" applyAlignment="1">
      <alignment horizontal="center" vertical="center" wrapText="1"/>
    </xf>
    <xf numFmtId="41" fontId="7" fillId="0" borderId="40" xfId="1" applyFont="1" applyFill="1" applyBorder="1" applyAlignment="1">
      <alignment horizontal="left" vertical="center" wrapText="1"/>
    </xf>
    <xf numFmtId="41" fontId="7" fillId="0" borderId="43" xfId="1" applyFont="1" applyBorder="1" applyAlignment="1">
      <alignment vertical="center"/>
    </xf>
    <xf numFmtId="41" fontId="7" fillId="0" borderId="44" xfId="1" applyFont="1" applyFill="1" applyBorder="1" applyAlignment="1">
      <alignment vertical="center" wrapText="1"/>
    </xf>
    <xf numFmtId="41" fontId="7" fillId="0" borderId="45" xfId="1" applyFont="1" applyFill="1" applyBorder="1" applyAlignment="1">
      <alignment horizontal="center" vertical="center" wrapText="1"/>
    </xf>
    <xf numFmtId="41" fontId="7" fillId="0" borderId="49" xfId="1" applyFont="1" applyBorder="1" applyAlignment="1">
      <alignment vertical="center"/>
    </xf>
    <xf numFmtId="41" fontId="7" fillId="3" borderId="44" xfId="1" applyFont="1" applyFill="1" applyBorder="1" applyAlignment="1">
      <alignment vertical="center" wrapText="1"/>
    </xf>
    <xf numFmtId="41" fontId="7" fillId="3" borderId="45" xfId="1" applyFont="1" applyFill="1" applyBorder="1" applyAlignment="1">
      <alignment horizontal="center" vertical="center" wrapText="1"/>
    </xf>
    <xf numFmtId="41" fontId="7" fillId="3" borderId="49" xfId="1" applyFont="1" applyFill="1" applyBorder="1" applyAlignment="1">
      <alignment vertical="center"/>
    </xf>
    <xf numFmtId="3" fontId="7" fillId="3" borderId="45" xfId="1" applyNumberFormat="1" applyFont="1" applyFill="1" applyBorder="1" applyAlignment="1">
      <alignment horizontal="center" vertical="center" wrapText="1"/>
    </xf>
    <xf numFmtId="41" fontId="7" fillId="0" borderId="46" xfId="1" applyFont="1" applyFill="1" applyBorder="1" applyAlignment="1">
      <alignment vertical="center" wrapText="1"/>
    </xf>
    <xf numFmtId="3" fontId="7" fillId="0" borderId="45" xfId="1" applyNumberFormat="1" applyFont="1" applyFill="1" applyBorder="1" applyAlignment="1">
      <alignment horizontal="center" vertical="center" wrapText="1"/>
    </xf>
    <xf numFmtId="41" fontId="7" fillId="3" borderId="46" xfId="1" applyFont="1" applyFill="1" applyBorder="1" applyAlignment="1">
      <alignment vertical="center" wrapText="1"/>
    </xf>
    <xf numFmtId="41" fontId="7" fillId="3" borderId="44" xfId="1" applyFont="1" applyFill="1" applyBorder="1" applyAlignment="1">
      <alignment vertical="center"/>
    </xf>
    <xf numFmtId="41" fontId="7" fillId="0" borderId="99" xfId="1" applyFont="1" applyFill="1" applyBorder="1" applyAlignment="1">
      <alignment vertical="center" wrapText="1"/>
    </xf>
    <xf numFmtId="41" fontId="7" fillId="0" borderId="55" xfId="1" applyFont="1" applyFill="1" applyBorder="1" applyAlignment="1">
      <alignment horizontal="center" vertical="center" wrapText="1"/>
    </xf>
    <xf numFmtId="41" fontId="7" fillId="0" borderId="37" xfId="1" applyFont="1" applyFill="1" applyBorder="1" applyAlignment="1">
      <alignment horizontal="left" vertical="center" wrapText="1"/>
    </xf>
    <xf numFmtId="41" fontId="7" fillId="3" borderId="54" xfId="1" applyFont="1" applyFill="1" applyBorder="1" applyAlignment="1">
      <alignment vertical="center"/>
    </xf>
    <xf numFmtId="41" fontId="23" fillId="0" borderId="25" xfId="1" applyFont="1" applyBorder="1" applyAlignment="1">
      <alignment horizontal="center" vertical="center"/>
    </xf>
    <xf numFmtId="41" fontId="23" fillId="0" borderId="17" xfId="1" applyFont="1" applyBorder="1" applyAlignment="1">
      <alignment horizontal="center" vertical="center"/>
    </xf>
    <xf numFmtId="41" fontId="23" fillId="0" borderId="31" xfId="1" applyFont="1" applyBorder="1" applyAlignment="1">
      <alignment horizontal="center" vertical="center"/>
    </xf>
    <xf numFmtId="41" fontId="23" fillId="0" borderId="31" xfId="1" applyFont="1" applyFill="1" applyBorder="1" applyAlignment="1">
      <alignment vertical="center" wrapText="1"/>
    </xf>
    <xf numFmtId="41" fontId="23" fillId="10" borderId="26" xfId="1" applyFont="1" applyFill="1" applyBorder="1" applyAlignment="1">
      <alignment horizontal="center" vertical="center"/>
    </xf>
    <xf numFmtId="41" fontId="23" fillId="10" borderId="19" xfId="1" applyFont="1" applyFill="1" applyBorder="1" applyAlignment="1">
      <alignment horizontal="center" vertical="center"/>
    </xf>
    <xf numFmtId="41" fontId="23" fillId="0" borderId="1" xfId="1" applyFont="1" applyBorder="1" applyAlignment="1">
      <alignment horizontal="center" vertical="center"/>
    </xf>
    <xf numFmtId="41" fontId="23" fillId="0" borderId="16" xfId="1" applyFont="1" applyBorder="1" applyAlignment="1">
      <alignment horizontal="center" vertical="center"/>
    </xf>
    <xf numFmtId="41" fontId="23" fillId="0" borderId="26" xfId="1" applyFont="1" applyBorder="1" applyAlignment="1">
      <alignment vertical="center"/>
    </xf>
    <xf numFmtId="41" fontId="23" fillId="0" borderId="1" xfId="1" applyFont="1" applyBorder="1" applyAlignment="1">
      <alignment vertical="center"/>
    </xf>
    <xf numFmtId="41" fontId="23" fillId="0" borderId="16" xfId="1" applyFont="1" applyBorder="1" applyAlignment="1">
      <alignment vertical="center"/>
    </xf>
    <xf numFmtId="41" fontId="23" fillId="0" borderId="30" xfId="1" applyFont="1" applyBorder="1" applyAlignment="1">
      <alignment vertical="center"/>
    </xf>
    <xf numFmtId="41" fontId="7" fillId="0" borderId="109" xfId="1" applyFont="1" applyBorder="1" applyAlignment="1">
      <alignment vertical="center"/>
    </xf>
    <xf numFmtId="41" fontId="7" fillId="0" borderId="102" xfId="1" applyFont="1" applyBorder="1" applyAlignment="1">
      <alignment vertical="center"/>
    </xf>
    <xf numFmtId="41" fontId="7" fillId="0" borderId="39" xfId="1" applyFont="1" applyBorder="1" applyAlignment="1">
      <alignment vertical="center"/>
    </xf>
    <xf numFmtId="41" fontId="7" fillId="0" borderId="40" xfId="1" applyFont="1" applyBorder="1" applyAlignment="1">
      <alignment vertical="center"/>
    </xf>
    <xf numFmtId="41" fontId="7" fillId="0" borderId="45" xfId="1" applyFont="1" applyBorder="1" applyAlignment="1">
      <alignment vertical="center"/>
    </xf>
    <xf numFmtId="41" fontId="7" fillId="0" borderId="46" xfId="1" applyFont="1" applyBorder="1" applyAlignment="1">
      <alignment vertical="center"/>
    </xf>
    <xf numFmtId="41" fontId="7" fillId="0" borderId="46" xfId="1" applyFont="1" applyBorder="1" applyAlignment="1">
      <alignment vertical="center" wrapText="1"/>
    </xf>
    <xf numFmtId="41" fontId="23" fillId="0" borderId="81" xfId="1" applyFont="1" applyBorder="1" applyAlignment="1">
      <alignment horizontal="center" vertical="center"/>
    </xf>
    <xf numFmtId="41" fontId="7" fillId="0" borderId="50" xfId="1" applyFont="1" applyBorder="1" applyAlignment="1">
      <alignment vertical="center" wrapText="1"/>
    </xf>
    <xf numFmtId="41" fontId="7" fillId="0" borderId="0" xfId="1" applyFont="1" applyBorder="1" applyAlignment="1">
      <alignment horizontal="right" vertical="center" wrapText="1"/>
    </xf>
    <xf numFmtId="41" fontId="7" fillId="0" borderId="37" xfId="1" applyFont="1" applyBorder="1" applyAlignment="1">
      <alignment vertical="center" wrapText="1"/>
    </xf>
    <xf numFmtId="41" fontId="23" fillId="0" borderId="53" xfId="1" applyFont="1" applyBorder="1" applyAlignment="1">
      <alignment vertical="center"/>
    </xf>
    <xf numFmtId="41" fontId="23" fillId="10" borderId="25" xfId="1" applyFont="1" applyFill="1" applyBorder="1" applyAlignment="1">
      <alignment horizontal="center" vertical="center"/>
    </xf>
    <xf numFmtId="41" fontId="23" fillId="3" borderId="25" xfId="1" applyFont="1" applyFill="1" applyBorder="1" applyAlignment="1">
      <alignment vertical="center"/>
    </xf>
    <xf numFmtId="41" fontId="23" fillId="3" borderId="17" xfId="1" applyFont="1" applyFill="1" applyBorder="1" applyAlignment="1">
      <alignment vertical="center"/>
    </xf>
    <xf numFmtId="41" fontId="23" fillId="3" borderId="31" xfId="1" applyFont="1" applyFill="1" applyBorder="1" applyAlignment="1">
      <alignment vertical="center"/>
    </xf>
    <xf numFmtId="41" fontId="23" fillId="3" borderId="34" xfId="1" applyFont="1" applyFill="1" applyBorder="1" applyAlignment="1">
      <alignment vertical="center"/>
    </xf>
    <xf numFmtId="41" fontId="7" fillId="3" borderId="38" xfId="1" applyFont="1" applyFill="1" applyBorder="1" applyAlignment="1">
      <alignment vertical="center" wrapText="1"/>
    </xf>
    <xf numFmtId="41" fontId="7" fillId="3" borderId="43" xfId="1" applyFont="1" applyFill="1" applyBorder="1" applyAlignment="1">
      <alignment vertical="center"/>
    </xf>
    <xf numFmtId="3" fontId="7" fillId="3" borderId="39" xfId="1" applyNumberFormat="1" applyFont="1" applyFill="1" applyBorder="1" applyAlignment="1">
      <alignment horizontal="center" vertical="center" wrapText="1"/>
    </xf>
    <xf numFmtId="41" fontId="7" fillId="3" borderId="50" xfId="1" applyFont="1" applyFill="1" applyBorder="1" applyAlignment="1">
      <alignment vertical="center"/>
    </xf>
    <xf numFmtId="41" fontId="7" fillId="3" borderId="0" xfId="1" applyFont="1" applyFill="1" applyBorder="1" applyAlignment="1">
      <alignment vertical="center"/>
    </xf>
    <xf numFmtId="41" fontId="7" fillId="3" borderId="37" xfId="1" applyFont="1" applyFill="1" applyBorder="1" applyAlignment="1">
      <alignment vertical="center"/>
    </xf>
    <xf numFmtId="41" fontId="7" fillId="3" borderId="53" xfId="1" applyFont="1" applyFill="1" applyBorder="1" applyAlignment="1">
      <alignment vertical="center"/>
    </xf>
    <xf numFmtId="41" fontId="7" fillId="3" borderId="21" xfId="1" applyFont="1" applyFill="1" applyBorder="1" applyAlignment="1">
      <alignment vertical="center"/>
    </xf>
    <xf numFmtId="41" fontId="7" fillId="3" borderId="1" xfId="1" applyFont="1" applyFill="1" applyBorder="1" applyAlignment="1">
      <alignment vertical="center"/>
    </xf>
    <xf numFmtId="41" fontId="7" fillId="3" borderId="39" xfId="1" applyFont="1" applyFill="1" applyBorder="1" applyAlignment="1">
      <alignment horizontal="center" vertical="center" wrapText="1"/>
    </xf>
    <xf numFmtId="41" fontId="23" fillId="0" borderId="50" xfId="1" applyFont="1" applyBorder="1" applyAlignment="1">
      <alignment horizontal="center" vertical="center"/>
    </xf>
    <xf numFmtId="41" fontId="7" fillId="3" borderId="58" xfId="1" applyFont="1" applyFill="1" applyBorder="1" applyAlignment="1">
      <alignment vertical="center" wrapText="1"/>
    </xf>
    <xf numFmtId="41" fontId="7" fillId="3" borderId="63" xfId="1" applyFont="1" applyFill="1" applyBorder="1" applyAlignment="1">
      <alignment vertical="center"/>
    </xf>
    <xf numFmtId="41" fontId="7" fillId="3" borderId="24" xfId="1" applyFont="1" applyFill="1" applyBorder="1" applyAlignment="1">
      <alignment vertical="center"/>
    </xf>
    <xf numFmtId="41" fontId="7" fillId="3" borderId="26" xfId="1" applyFont="1" applyFill="1" applyBorder="1" applyAlignment="1">
      <alignment horizontal="left" vertical="center" wrapText="1"/>
    </xf>
    <xf numFmtId="41" fontId="7" fillId="3" borderId="17" xfId="1" applyFont="1" applyFill="1" applyBorder="1" applyAlignment="1">
      <alignment vertical="center"/>
    </xf>
    <xf numFmtId="41" fontId="7" fillId="3" borderId="31" xfId="1" applyFont="1" applyFill="1" applyBorder="1" applyAlignment="1">
      <alignment vertical="center"/>
    </xf>
    <xf numFmtId="41" fontId="7" fillId="0" borderId="0" xfId="1" applyFont="1" applyBorder="1" applyAlignment="1">
      <alignment vertical="center"/>
    </xf>
    <xf numFmtId="41" fontId="7" fillId="0" borderId="37" xfId="1" applyFont="1" applyBorder="1" applyAlignment="1">
      <alignment vertical="center"/>
    </xf>
    <xf numFmtId="41" fontId="7" fillId="0" borderId="53" xfId="1" applyFont="1" applyBorder="1" applyAlignment="1">
      <alignment vertical="center"/>
    </xf>
    <xf numFmtId="41" fontId="7" fillId="0" borderId="31" xfId="1" applyFont="1" applyBorder="1" applyAlignment="1">
      <alignment vertical="center"/>
    </xf>
    <xf numFmtId="41" fontId="23" fillId="0" borderId="19" xfId="1" applyFont="1" applyBorder="1" applyAlignment="1">
      <alignment vertical="center"/>
    </xf>
    <xf numFmtId="41" fontId="23" fillId="0" borderId="0" xfId="1" applyFont="1" applyBorder="1" applyAlignment="1">
      <alignment vertical="center"/>
    </xf>
    <xf numFmtId="41" fontId="7" fillId="0" borderId="70" xfId="1" applyFont="1" applyBorder="1" applyAlignment="1">
      <alignment vertical="center"/>
    </xf>
    <xf numFmtId="41" fontId="0" fillId="0" borderId="0" xfId="1" applyFont="1" applyBorder="1" applyAlignment="1"/>
    <xf numFmtId="41" fontId="7" fillId="0" borderId="36" xfId="1" applyFont="1" applyFill="1" applyBorder="1" applyAlignment="1">
      <alignment vertical="center"/>
    </xf>
    <xf numFmtId="41" fontId="7" fillId="0" borderId="36" xfId="1" applyFont="1" applyBorder="1" applyAlignment="1">
      <alignment vertical="center"/>
    </xf>
    <xf numFmtId="41" fontId="23" fillId="11" borderId="25" xfId="1" applyFont="1" applyFill="1" applyBorder="1" applyAlignment="1">
      <alignment horizontal="center" vertical="center"/>
    </xf>
    <xf numFmtId="41" fontId="23" fillId="11" borderId="19" xfId="1" applyFont="1" applyFill="1" applyBorder="1" applyAlignment="1">
      <alignment horizontal="center" vertical="center"/>
    </xf>
    <xf numFmtId="41" fontId="7" fillId="0" borderId="25" xfId="1" applyFont="1" applyBorder="1" applyAlignment="1">
      <alignment vertical="center"/>
    </xf>
    <xf numFmtId="41" fontId="7" fillId="0" borderId="17" xfId="1" applyFont="1" applyBorder="1" applyAlignment="1">
      <alignment vertical="center"/>
    </xf>
    <xf numFmtId="41" fontId="23" fillId="11" borderId="26" xfId="1" applyFont="1" applyFill="1" applyBorder="1" applyAlignment="1">
      <alignment horizontal="center" vertical="center"/>
    </xf>
    <xf numFmtId="41" fontId="23" fillId="11" borderId="81" xfId="1" applyFont="1" applyFill="1" applyBorder="1" applyAlignment="1">
      <alignment horizontal="center" vertical="center"/>
    </xf>
    <xf numFmtId="41" fontId="23" fillId="11" borderId="0" xfId="1" applyFont="1" applyFill="1" applyBorder="1" applyAlignment="1">
      <alignment horizontal="center" vertical="center"/>
    </xf>
    <xf numFmtId="41" fontId="23" fillId="9" borderId="25" xfId="1" applyFont="1" applyFill="1" applyBorder="1" applyAlignment="1">
      <alignment horizontal="center" vertical="center"/>
    </xf>
    <xf numFmtId="41" fontId="23" fillId="0" borderId="65" xfId="1" applyFont="1" applyBorder="1" applyAlignment="1">
      <alignment horizontal="center" vertical="center"/>
    </xf>
    <xf numFmtId="41" fontId="23" fillId="9" borderId="50" xfId="1" applyFont="1" applyFill="1" applyBorder="1" applyAlignment="1">
      <alignment horizontal="center" vertical="center"/>
    </xf>
    <xf numFmtId="41" fontId="7" fillId="0" borderId="50" xfId="1" applyFont="1" applyBorder="1" applyAlignment="1">
      <alignment horizontal="left" vertical="center"/>
    </xf>
    <xf numFmtId="41" fontId="23" fillId="0" borderId="37" xfId="1" applyFont="1" applyBorder="1" applyAlignment="1">
      <alignment vertical="center"/>
    </xf>
    <xf numFmtId="41" fontId="7" fillId="3" borderId="50" xfId="1" applyFont="1" applyFill="1" applyBorder="1" applyAlignment="1">
      <alignment horizontal="left" vertical="center"/>
    </xf>
    <xf numFmtId="41" fontId="23" fillId="3" borderId="0" xfId="1" applyFont="1" applyFill="1" applyBorder="1" applyAlignment="1">
      <alignment vertical="center"/>
    </xf>
    <xf numFmtId="41" fontId="23" fillId="3" borderId="37" xfId="1" applyFont="1" applyFill="1" applyBorder="1" applyAlignment="1">
      <alignment vertical="center"/>
    </xf>
    <xf numFmtId="41" fontId="23" fillId="3" borderId="36" xfId="1" applyFont="1" applyFill="1" applyBorder="1" applyAlignment="1">
      <alignment horizontal="center" vertical="center"/>
    </xf>
    <xf numFmtId="41" fontId="23" fillId="3" borderId="50" xfId="1" applyFont="1" applyFill="1" applyBorder="1" applyAlignment="1">
      <alignment horizontal="center" vertical="center"/>
    </xf>
    <xf numFmtId="41" fontId="23" fillId="0" borderId="20" xfId="1" applyFont="1" applyBorder="1" applyAlignment="1">
      <alignment horizontal="center" vertical="center"/>
    </xf>
    <xf numFmtId="41" fontId="23" fillId="0" borderId="21" xfId="1" applyFont="1" applyBorder="1" applyAlignment="1">
      <alignment vertical="center"/>
    </xf>
    <xf numFmtId="41" fontId="23" fillId="0" borderId="6" xfId="1" applyFont="1" applyBorder="1" applyAlignment="1">
      <alignment vertical="center"/>
    </xf>
    <xf numFmtId="41" fontId="7" fillId="0" borderId="24" xfId="1" applyFont="1" applyBorder="1" applyAlignment="1">
      <alignment vertical="center"/>
    </xf>
    <xf numFmtId="41" fontId="23" fillId="0" borderId="72" xfId="1" applyFont="1" applyBorder="1" applyAlignment="1">
      <alignment horizontal="center" vertical="center"/>
    </xf>
    <xf numFmtId="41" fontId="23" fillId="0" borderId="73" xfId="1" applyFont="1" applyBorder="1" applyAlignment="1">
      <alignment horizontal="center" vertical="center"/>
    </xf>
    <xf numFmtId="41" fontId="23" fillId="3" borderId="73" xfId="1" applyFont="1" applyFill="1" applyBorder="1" applyAlignment="1">
      <alignment horizontal="center" vertical="center"/>
    </xf>
    <xf numFmtId="41" fontId="23" fillId="3" borderId="76" xfId="1" applyFont="1" applyFill="1" applyBorder="1" applyAlignment="1">
      <alignment horizontal="center" vertical="center"/>
    </xf>
    <xf numFmtId="41" fontId="7" fillId="3" borderId="76" xfId="1" applyFont="1" applyFill="1" applyBorder="1" applyAlignment="1">
      <alignment vertical="center"/>
    </xf>
    <xf numFmtId="41" fontId="7" fillId="3" borderId="77" xfId="1" applyFont="1" applyFill="1" applyBorder="1" applyAlignment="1">
      <alignment vertical="center"/>
    </xf>
    <xf numFmtId="41" fontId="7" fillId="3" borderId="78" xfId="1" applyFont="1" applyFill="1" applyBorder="1" applyAlignment="1">
      <alignment vertical="center"/>
    </xf>
    <xf numFmtId="41" fontId="7" fillId="0" borderId="107" xfId="1" applyFont="1" applyBorder="1" applyAlignment="1">
      <alignment vertical="center"/>
    </xf>
    <xf numFmtId="41" fontId="23" fillId="0" borderId="76" xfId="1" applyFont="1" applyBorder="1" applyAlignment="1">
      <alignment horizontal="center" vertical="center"/>
    </xf>
    <xf numFmtId="41" fontId="7" fillId="0" borderId="75" xfId="1" applyFont="1" applyBorder="1" applyAlignment="1">
      <alignment vertical="center"/>
    </xf>
    <xf numFmtId="41" fontId="23" fillId="0" borderId="74" xfId="1" applyFont="1" applyBorder="1" applyAlignment="1">
      <alignment horizontal="center" vertical="center"/>
    </xf>
    <xf numFmtId="41" fontId="23" fillId="0" borderId="36" xfId="1" applyFont="1" applyBorder="1" applyAlignment="1">
      <alignment horizontal="center"/>
    </xf>
    <xf numFmtId="41" fontId="23" fillId="0" borderId="50" xfId="1" applyFont="1" applyBorder="1" applyAlignment="1">
      <alignment horizontal="center"/>
    </xf>
    <xf numFmtId="41" fontId="7" fillId="0" borderId="76" xfId="1" applyFont="1" applyBorder="1" applyAlignment="1">
      <alignment vertical="center"/>
    </xf>
    <xf numFmtId="41" fontId="0" fillId="0" borderId="37" xfId="1" applyFont="1" applyBorder="1" applyAlignment="1"/>
    <xf numFmtId="41" fontId="7" fillId="0" borderId="148" xfId="1" applyFont="1" applyBorder="1" applyAlignment="1">
      <alignment vertical="center"/>
    </xf>
    <xf numFmtId="41" fontId="0" fillId="0" borderId="81" xfId="1" applyFont="1" applyBorder="1" applyAlignment="1"/>
    <xf numFmtId="41" fontId="23" fillId="0" borderId="81" xfId="1" applyFont="1" applyBorder="1" applyAlignment="1">
      <alignment horizontal="center"/>
    </xf>
    <xf numFmtId="41" fontId="23" fillId="0" borderId="26" xfId="1" applyFont="1" applyBorder="1" applyAlignment="1">
      <alignment horizontal="center"/>
    </xf>
    <xf numFmtId="41" fontId="7" fillId="0" borderId="26" xfId="1" applyFont="1" applyFill="1" applyBorder="1" applyAlignment="1">
      <alignment vertical="center"/>
    </xf>
    <xf numFmtId="41" fontId="0" fillId="0" borderId="1" xfId="1" applyFont="1" applyBorder="1" applyAlignment="1"/>
    <xf numFmtId="41" fontId="0" fillId="0" borderId="16" xfId="1" applyFont="1" applyBorder="1" applyAlignment="1"/>
    <xf numFmtId="41" fontId="7" fillId="0" borderId="83" xfId="1" applyFont="1" applyBorder="1" applyAlignment="1">
      <alignment vertical="center"/>
    </xf>
    <xf numFmtId="41" fontId="7" fillId="3" borderId="45" xfId="1" applyFont="1" applyFill="1" applyBorder="1" applyAlignment="1">
      <alignment vertical="center" wrapText="1"/>
    </xf>
    <xf numFmtId="41" fontId="7" fillId="3" borderId="39" xfId="1" applyFont="1" applyFill="1" applyBorder="1" applyAlignment="1">
      <alignment vertical="center" wrapText="1"/>
    </xf>
    <xf numFmtId="41" fontId="7" fillId="3" borderId="40" xfId="1" applyFont="1" applyFill="1" applyBorder="1" applyAlignment="1">
      <alignment vertical="center" wrapText="1"/>
    </xf>
    <xf numFmtId="41" fontId="7" fillId="3" borderId="59" xfId="1" applyFont="1" applyFill="1" applyBorder="1" applyAlignment="1">
      <alignment vertical="center" wrapText="1"/>
    </xf>
    <xf numFmtId="41" fontId="7" fillId="3" borderId="60" xfId="1" applyFont="1" applyFill="1" applyBorder="1" applyAlignment="1">
      <alignment vertical="center" wrapText="1"/>
    </xf>
    <xf numFmtId="41" fontId="23" fillId="3" borderId="93" xfId="1" applyFont="1" applyFill="1" applyBorder="1" applyAlignment="1">
      <alignment horizontal="center" vertical="center"/>
    </xf>
    <xf numFmtId="41" fontId="23" fillId="3" borderId="35" xfId="1" applyFont="1" applyFill="1" applyBorder="1" applyAlignment="1">
      <alignment horizontal="center" vertical="center"/>
    </xf>
    <xf numFmtId="41" fontId="23" fillId="3" borderId="84" xfId="1" applyFont="1" applyFill="1" applyBorder="1" applyAlignment="1">
      <alignment horizontal="center" vertical="center"/>
    </xf>
    <xf numFmtId="41" fontId="23" fillId="3" borderId="105" xfId="1" applyFont="1" applyFill="1" applyBorder="1" applyAlignment="1">
      <alignment horizontal="center" vertical="center"/>
    </xf>
    <xf numFmtId="41" fontId="23" fillId="3" borderId="66" xfId="1" applyFont="1" applyFill="1" applyBorder="1" applyAlignment="1">
      <alignment horizontal="center" vertical="center"/>
    </xf>
    <xf numFmtId="41" fontId="23" fillId="3" borderId="92" xfId="1" applyFont="1" applyFill="1" applyBorder="1" applyAlignment="1">
      <alignment horizontal="center" vertical="center"/>
    </xf>
    <xf numFmtId="41" fontId="23" fillId="3" borderId="81" xfId="1" applyFont="1" applyFill="1" applyBorder="1" applyAlignment="1">
      <alignment horizontal="center" vertical="center"/>
    </xf>
    <xf numFmtId="41" fontId="23" fillId="10" borderId="76" xfId="1" applyFont="1" applyFill="1" applyBorder="1" applyAlignment="1">
      <alignment horizontal="center" vertical="center"/>
    </xf>
    <xf numFmtId="41" fontId="23" fillId="3" borderId="25" xfId="1" applyFont="1" applyFill="1" applyBorder="1" applyAlignment="1">
      <alignment horizontal="center" vertical="center"/>
    </xf>
    <xf numFmtId="41" fontId="23" fillId="3" borderId="50" xfId="1" applyFont="1" applyFill="1" applyBorder="1" applyAlignment="1">
      <alignment horizontal="center"/>
    </xf>
    <xf numFmtId="41" fontId="23" fillId="3" borderId="26" xfId="1" applyFont="1" applyFill="1" applyBorder="1" applyAlignment="1">
      <alignment horizontal="center"/>
    </xf>
    <xf numFmtId="41" fontId="23" fillId="11" borderId="76" xfId="1" applyFont="1" applyFill="1" applyBorder="1" applyAlignment="1">
      <alignment horizontal="center" vertical="center"/>
    </xf>
    <xf numFmtId="41" fontId="23" fillId="9" borderId="50" xfId="1" applyFont="1" applyFill="1" applyBorder="1" applyAlignment="1">
      <alignment horizontal="center"/>
    </xf>
    <xf numFmtId="41" fontId="1" fillId="3" borderId="0" xfId="1" applyFont="1" applyFill="1" applyAlignment="1"/>
    <xf numFmtId="41" fontId="7" fillId="3" borderId="40" xfId="1" applyFont="1" applyFill="1" applyBorder="1" applyAlignment="1">
      <alignment vertical="center"/>
    </xf>
    <xf numFmtId="41" fontId="7" fillId="3" borderId="46" xfId="1" applyFont="1" applyFill="1" applyBorder="1" applyAlignment="1">
      <alignment vertical="center"/>
    </xf>
    <xf numFmtId="41" fontId="7" fillId="3" borderId="16" xfId="1" applyFont="1" applyFill="1" applyBorder="1" applyAlignment="1">
      <alignment vertical="center"/>
    </xf>
    <xf numFmtId="41" fontId="7" fillId="3" borderId="6" xfId="1" applyFont="1" applyFill="1" applyBorder="1" applyAlignment="1">
      <alignment vertical="center"/>
    </xf>
    <xf numFmtId="41" fontId="7" fillId="3" borderId="0" xfId="1" applyFont="1" applyFill="1" applyBorder="1" applyAlignment="1">
      <alignment horizontal="center" vertical="center" wrapText="1"/>
    </xf>
    <xf numFmtId="41" fontId="41" fillId="0" borderId="36" xfId="1" applyFont="1" applyBorder="1" applyAlignment="1">
      <alignment horizontal="center" vertical="center"/>
    </xf>
    <xf numFmtId="41" fontId="7" fillId="0" borderId="50" xfId="1" applyFont="1" applyFill="1" applyBorder="1" applyAlignment="1">
      <alignment vertical="center" wrapText="1"/>
    </xf>
    <xf numFmtId="41" fontId="42" fillId="7" borderId="39" xfId="1" applyFont="1" applyFill="1" applyBorder="1" applyAlignment="1">
      <alignment horizontal="left" vertical="center" shrinkToFit="1"/>
    </xf>
    <xf numFmtId="41" fontId="42" fillId="7" borderId="132" xfId="1" applyFont="1" applyFill="1" applyBorder="1" applyAlignment="1">
      <alignment horizontal="left" vertical="center" shrinkToFit="1"/>
    </xf>
    <xf numFmtId="0" fontId="43" fillId="0" borderId="0" xfId="2" applyFont="1">
      <alignment vertical="center"/>
    </xf>
    <xf numFmtId="0" fontId="44" fillId="0" borderId="0" xfId="2" applyFont="1" applyAlignment="1">
      <alignment horizontal="center" vertical="center"/>
    </xf>
    <xf numFmtId="41" fontId="44" fillId="0" borderId="0" xfId="1" applyFont="1" applyAlignment="1">
      <alignment horizontal="center" vertical="center"/>
    </xf>
    <xf numFmtId="41" fontId="43" fillId="0" borderId="0" xfId="1" applyFont="1">
      <alignment vertical="center"/>
    </xf>
    <xf numFmtId="41" fontId="42" fillId="4" borderId="129" xfId="1" applyFont="1" applyFill="1" applyBorder="1" applyAlignment="1">
      <alignment horizontal="center" vertical="center" shrinkToFit="1"/>
    </xf>
    <xf numFmtId="41" fontId="42" fillId="5" borderId="39" xfId="1" applyFont="1" applyFill="1" applyBorder="1" applyAlignment="1">
      <alignment horizontal="center" vertical="center" shrinkToFit="1"/>
    </xf>
    <xf numFmtId="41" fontId="42" fillId="5" borderId="131" xfId="1" applyFont="1" applyFill="1" applyBorder="1" applyAlignment="1">
      <alignment horizontal="right" vertical="center" shrinkToFit="1"/>
    </xf>
    <xf numFmtId="41" fontId="42" fillId="5" borderId="131" xfId="1" applyFont="1" applyFill="1" applyBorder="1" applyAlignment="1">
      <alignment horizontal="left" vertical="center" indent="1" shrinkToFit="1"/>
    </xf>
    <xf numFmtId="0" fontId="42" fillId="0" borderId="38" xfId="2" applyFont="1" applyBorder="1" applyAlignment="1">
      <alignment horizontal="center" vertical="center" shrinkToFit="1"/>
    </xf>
    <xf numFmtId="41" fontId="42" fillId="6" borderId="39" xfId="1" applyFont="1" applyFill="1" applyBorder="1" applyAlignment="1">
      <alignment horizontal="center" vertical="center" shrinkToFit="1"/>
    </xf>
    <xf numFmtId="41" fontId="42" fillId="6" borderId="135" xfId="1" applyFont="1" applyFill="1" applyBorder="1" applyAlignment="1">
      <alignment horizontal="right" vertical="center" shrinkToFit="1"/>
    </xf>
    <xf numFmtId="0" fontId="42" fillId="0" borderId="133" xfId="2" applyFont="1" applyBorder="1" applyAlignment="1">
      <alignment vertical="center" shrinkToFit="1"/>
    </xf>
    <xf numFmtId="41" fontId="42" fillId="6" borderId="131" xfId="1" applyFont="1" applyFill="1" applyBorder="1" applyAlignment="1">
      <alignment horizontal="left" vertical="center" indent="1" shrinkToFit="1"/>
    </xf>
    <xf numFmtId="41" fontId="42" fillId="7" borderId="135" xfId="1" applyFont="1" applyFill="1" applyBorder="1" applyAlignment="1">
      <alignment horizontal="right" vertical="center" shrinkToFit="1"/>
    </xf>
    <xf numFmtId="41" fontId="42" fillId="7" borderId="132" xfId="1" applyFont="1" applyFill="1" applyBorder="1" applyAlignment="1">
      <alignment horizontal="right" vertical="center" shrinkToFit="1"/>
    </xf>
    <xf numFmtId="0" fontId="42" fillId="0" borderId="131" xfId="2" applyFont="1" applyBorder="1" applyAlignment="1">
      <alignment vertical="center" shrinkToFit="1"/>
    </xf>
    <xf numFmtId="0" fontId="42" fillId="7" borderId="131" xfId="2" applyFont="1" applyFill="1" applyBorder="1" applyAlignment="1">
      <alignment horizontal="left" vertical="center" indent="1" shrinkToFit="1"/>
    </xf>
    <xf numFmtId="41" fontId="42" fillId="7" borderId="131" xfId="1" applyFont="1" applyFill="1" applyBorder="1" applyAlignment="1">
      <alignment horizontal="left" vertical="center" indent="1" shrinkToFit="1"/>
    </xf>
    <xf numFmtId="0" fontId="42" fillId="0" borderId="44" xfId="2" applyFont="1" applyBorder="1" applyAlignment="1">
      <alignment vertical="center" shrinkToFit="1"/>
    </xf>
    <xf numFmtId="41" fontId="42" fillId="5" borderId="135" xfId="1" applyFont="1" applyFill="1" applyBorder="1" applyAlignment="1">
      <alignment horizontal="right" vertical="center" shrinkToFit="1"/>
    </xf>
    <xf numFmtId="0" fontId="42" fillId="0" borderId="136" xfId="2" applyFont="1" applyBorder="1" applyAlignment="1">
      <alignment horizontal="left" vertical="center" shrinkToFit="1"/>
    </xf>
    <xf numFmtId="41" fontId="42" fillId="6" borderId="131" xfId="1" applyFont="1" applyFill="1" applyBorder="1" applyAlignment="1">
      <alignment horizontal="right" vertical="center" shrinkToFit="1"/>
    </xf>
    <xf numFmtId="0" fontId="42" fillId="0" borderId="131" xfId="2" applyFont="1" applyBorder="1" applyAlignment="1">
      <alignment horizontal="left" vertical="center" shrinkToFit="1"/>
    </xf>
    <xf numFmtId="41" fontId="42" fillId="7" borderId="131" xfId="1" applyFont="1" applyFill="1" applyBorder="1" applyAlignment="1">
      <alignment horizontal="left" vertical="center" shrinkToFit="1"/>
    </xf>
    <xf numFmtId="0" fontId="42" fillId="3" borderId="131" xfId="2" applyFont="1" applyFill="1" applyBorder="1" applyAlignment="1">
      <alignment horizontal="center" vertical="center" shrinkToFit="1"/>
    </xf>
    <xf numFmtId="41" fontId="42" fillId="7" borderId="131" xfId="1" applyFont="1" applyFill="1" applyBorder="1" applyAlignment="1">
      <alignment horizontal="center" vertical="center" shrinkToFit="1"/>
    </xf>
    <xf numFmtId="0" fontId="46" fillId="0" borderId="0" xfId="2" applyFont="1">
      <alignment vertical="center"/>
    </xf>
    <xf numFmtId="0" fontId="42" fillId="0" borderId="136" xfId="2" applyFont="1" applyBorder="1" applyAlignment="1">
      <alignment horizontal="center" vertical="center" shrinkToFit="1"/>
    </xf>
    <xf numFmtId="0" fontId="42" fillId="0" borderId="131" xfId="2" applyFont="1" applyBorder="1" applyAlignment="1">
      <alignment horizontal="center" vertical="center" shrinkToFit="1"/>
    </xf>
    <xf numFmtId="41" fontId="42" fillId="5" borderId="45" xfId="1" applyFont="1" applyFill="1" applyBorder="1" applyAlignment="1">
      <alignment horizontal="center" vertical="center" shrinkToFit="1"/>
    </xf>
    <xf numFmtId="41" fontId="42" fillId="6" borderId="131" xfId="1" applyFont="1" applyFill="1" applyBorder="1" applyAlignment="1">
      <alignment horizontal="center" vertical="center" shrinkToFit="1"/>
    </xf>
    <xf numFmtId="0" fontId="42" fillId="0" borderId="133" xfId="2" applyFont="1" applyBorder="1" applyAlignment="1">
      <alignment vertical="center" wrapText="1" shrinkToFit="1"/>
    </xf>
    <xf numFmtId="0" fontId="42" fillId="0" borderId="131" xfId="2" applyFont="1" applyBorder="1" applyAlignment="1">
      <alignment vertical="center" wrapText="1" shrinkToFit="1"/>
    </xf>
    <xf numFmtId="0" fontId="42" fillId="3" borderId="136" xfId="2" applyFont="1" applyFill="1" applyBorder="1" applyAlignment="1">
      <alignment horizontal="left" vertical="center" shrinkToFit="1"/>
    </xf>
    <xf numFmtId="41" fontId="42" fillId="6" borderId="132" xfId="1" applyFont="1" applyFill="1" applyBorder="1" applyAlignment="1">
      <alignment horizontal="left" vertical="center" shrinkToFit="1"/>
    </xf>
    <xf numFmtId="0" fontId="42" fillId="3" borderId="131" xfId="2" applyFont="1" applyFill="1" applyBorder="1" applyAlignment="1">
      <alignment horizontal="left" vertical="center" shrinkToFit="1"/>
    </xf>
    <xf numFmtId="41" fontId="42" fillId="5" borderId="131" xfId="1" applyFont="1" applyFill="1" applyBorder="1" applyAlignment="1">
      <alignment horizontal="center" vertical="center" shrinkToFit="1"/>
    </xf>
    <xf numFmtId="0" fontId="42" fillId="3" borderId="136" xfId="2" applyFont="1" applyFill="1" applyBorder="1" applyAlignment="1">
      <alignment horizontal="center" vertical="center" shrinkToFit="1"/>
    </xf>
    <xf numFmtId="41" fontId="42" fillId="6" borderId="132" xfId="1" applyFont="1" applyFill="1" applyBorder="1" applyAlignment="1">
      <alignment horizontal="center" vertical="center" shrinkToFit="1"/>
    </xf>
    <xf numFmtId="0" fontId="42" fillId="7" borderId="131" xfId="2" applyFont="1" applyFill="1" applyBorder="1" applyAlignment="1">
      <alignment horizontal="center" vertical="center" shrinkToFit="1"/>
    </xf>
    <xf numFmtId="41" fontId="42" fillId="7" borderId="132" xfId="1" applyFont="1" applyFill="1" applyBorder="1" applyAlignment="1">
      <alignment horizontal="center" vertical="center" shrinkToFit="1"/>
    </xf>
    <xf numFmtId="41" fontId="42" fillId="3" borderId="132" xfId="1" applyFont="1" applyFill="1" applyBorder="1" applyAlignment="1">
      <alignment horizontal="center" vertical="center" shrinkToFit="1"/>
    </xf>
    <xf numFmtId="41" fontId="42" fillId="3" borderId="116" xfId="1" applyFont="1" applyFill="1" applyBorder="1" applyAlignment="1">
      <alignment horizontal="right" vertical="center" shrinkToFit="1"/>
    </xf>
    <xf numFmtId="0" fontId="42" fillId="0" borderId="118" xfId="2" applyFont="1" applyBorder="1" applyAlignment="1">
      <alignment vertical="center" shrinkToFit="1"/>
    </xf>
    <xf numFmtId="3" fontId="42" fillId="7" borderId="115" xfId="2" applyNumberFormat="1" applyFont="1" applyFill="1" applyBorder="1" applyAlignment="1">
      <alignment horizontal="left" vertical="center" indent="1" shrinkToFit="1"/>
    </xf>
    <xf numFmtId="41" fontId="42" fillId="7" borderId="115" xfId="1" applyFont="1" applyFill="1" applyBorder="1" applyAlignment="1">
      <alignment horizontal="left" vertical="center" indent="1" shrinkToFit="1"/>
    </xf>
    <xf numFmtId="41" fontId="42" fillId="0" borderId="116" xfId="1" applyFont="1" applyBorder="1" applyAlignment="1">
      <alignment horizontal="right" vertical="center" shrinkToFit="1"/>
    </xf>
    <xf numFmtId="0" fontId="42" fillId="0" borderId="138" xfId="2" applyFont="1" applyBorder="1" applyAlignment="1">
      <alignment horizontal="center" vertical="center" shrinkToFit="1"/>
    </xf>
    <xf numFmtId="0" fontId="42" fillId="0" borderId="139" xfId="2" applyFont="1" applyBorder="1" applyAlignment="1">
      <alignment horizontal="center" vertical="center" shrinkToFit="1"/>
    </xf>
    <xf numFmtId="41" fontId="42" fillId="0" borderId="139" xfId="1" applyFont="1" applyFill="1" applyBorder="1" applyAlignment="1">
      <alignment horizontal="right" vertical="center" shrinkToFit="1"/>
    </xf>
    <xf numFmtId="41" fontId="42" fillId="0" borderId="140" xfId="1" applyFont="1" applyFill="1" applyBorder="1" applyAlignment="1">
      <alignment horizontal="right" vertical="center" shrinkToFit="1"/>
    </xf>
    <xf numFmtId="0" fontId="42" fillId="0" borderId="142" xfId="2" applyFont="1" applyBorder="1" applyAlignment="1">
      <alignment horizontal="center" vertical="center" shrinkToFit="1"/>
    </xf>
    <xf numFmtId="41" fontId="42" fillId="0" borderId="143" xfId="1" applyFont="1" applyFill="1" applyBorder="1" applyAlignment="1">
      <alignment horizontal="center" vertical="center" shrinkToFit="1"/>
    </xf>
    <xf numFmtId="41" fontId="46" fillId="0" borderId="0" xfId="1" applyFont="1">
      <alignment vertical="center"/>
    </xf>
    <xf numFmtId="41" fontId="43" fillId="0" borderId="0" xfId="2" applyNumberFormat="1" applyFont="1">
      <alignment vertical="center"/>
    </xf>
    <xf numFmtId="41" fontId="47" fillId="0" borderId="17" xfId="1" applyFont="1" applyBorder="1" applyAlignment="1">
      <alignment horizontal="left" vertical="center"/>
    </xf>
    <xf numFmtId="0" fontId="43" fillId="0" borderId="17" xfId="2" applyFont="1" applyBorder="1">
      <alignment vertical="center"/>
    </xf>
    <xf numFmtId="41" fontId="43" fillId="0" borderId="17" xfId="1" applyFont="1" applyBorder="1">
      <alignment vertical="center"/>
    </xf>
    <xf numFmtId="41" fontId="43" fillId="0" borderId="0" xfId="1" applyFont="1" applyBorder="1">
      <alignment vertical="center"/>
    </xf>
    <xf numFmtId="41" fontId="33" fillId="3" borderId="149" xfId="1" applyFont="1" applyFill="1" applyBorder="1" applyAlignment="1">
      <alignment horizontal="center" vertical="center" shrinkToFit="1"/>
    </xf>
    <xf numFmtId="41" fontId="33" fillId="3" borderId="97" xfId="2" applyNumberFormat="1" applyFont="1" applyFill="1" applyBorder="1" applyAlignment="1">
      <alignment horizontal="center" vertical="center" shrinkToFit="1"/>
    </xf>
    <xf numFmtId="41" fontId="33" fillId="0" borderId="8" xfId="1" applyFont="1" applyBorder="1">
      <alignment vertical="center"/>
    </xf>
    <xf numFmtId="41" fontId="7" fillId="3" borderId="108" xfId="1" applyFont="1" applyFill="1" applyBorder="1" applyAlignment="1">
      <alignment vertical="center" wrapText="1"/>
    </xf>
    <xf numFmtId="41" fontId="24" fillId="3" borderId="20" xfId="1" applyFont="1" applyFill="1" applyBorder="1" applyAlignment="1">
      <alignment horizontal="left" vertical="center"/>
    </xf>
    <xf numFmtId="41" fontId="24" fillId="3" borderId="26" xfId="1" applyFont="1" applyFill="1" applyBorder="1" applyAlignment="1">
      <alignment horizontal="left" vertical="center"/>
    </xf>
    <xf numFmtId="41" fontId="23" fillId="0" borderId="25" xfId="1" applyFont="1" applyBorder="1" applyAlignment="1">
      <alignment horizontal="left" vertical="center"/>
    </xf>
    <xf numFmtId="41" fontId="23" fillId="3" borderId="25" xfId="1" applyFont="1" applyFill="1" applyBorder="1" applyAlignment="1">
      <alignment horizontal="left" vertical="center" wrapText="1"/>
    </xf>
    <xf numFmtId="41" fontId="7" fillId="3" borderId="40" xfId="1" applyFont="1" applyFill="1" applyBorder="1" applyAlignment="1">
      <alignment horizontal="left" vertical="center" wrapText="1"/>
    </xf>
    <xf numFmtId="41" fontId="7" fillId="3" borderId="17" xfId="1" applyFont="1" applyFill="1" applyBorder="1" applyAlignment="1">
      <alignment horizontal="left" vertical="center" wrapText="1"/>
    </xf>
    <xf numFmtId="41" fontId="7" fillId="3" borderId="31" xfId="1" applyFont="1" applyFill="1" applyBorder="1" applyAlignment="1">
      <alignment horizontal="left" vertical="center" wrapText="1"/>
    </xf>
    <xf numFmtId="41" fontId="21" fillId="0" borderId="19" xfId="1" applyFont="1" applyBorder="1" applyAlignment="1">
      <alignment horizontal="center" vertical="center"/>
    </xf>
    <xf numFmtId="41" fontId="0" fillId="3" borderId="0" xfId="1" applyFont="1" applyFill="1" applyAlignment="1"/>
    <xf numFmtId="41" fontId="0" fillId="3" borderId="0" xfId="1" applyFont="1" applyFill="1" applyBorder="1" applyAlignment="1"/>
    <xf numFmtId="41" fontId="33" fillId="3" borderId="9" xfId="1" applyFont="1" applyFill="1" applyBorder="1" applyAlignment="1">
      <alignment horizontal="center" vertical="center" shrinkToFit="1"/>
    </xf>
    <xf numFmtId="41" fontId="33" fillId="8" borderId="12" xfId="1" applyFont="1" applyFill="1" applyBorder="1" applyAlignment="1">
      <alignment horizontal="right" vertical="center" shrinkToFit="1"/>
    </xf>
    <xf numFmtId="41" fontId="33" fillId="3" borderId="91" xfId="1" applyFont="1" applyFill="1" applyBorder="1" applyAlignment="1">
      <alignment horizontal="right" vertical="center" shrinkToFit="1"/>
    </xf>
    <xf numFmtId="0" fontId="33" fillId="3" borderId="90" xfId="2" applyFont="1" applyFill="1" applyBorder="1" applyAlignment="1">
      <alignment horizontal="center" vertical="center" wrapText="1" shrinkToFit="1"/>
    </xf>
    <xf numFmtId="41" fontId="33" fillId="0" borderId="14" xfId="1" applyFont="1" applyBorder="1">
      <alignment vertical="center"/>
    </xf>
    <xf numFmtId="41" fontId="7" fillId="3" borderId="0" xfId="1" applyFont="1" applyFill="1" applyBorder="1" applyAlignment="1">
      <alignment vertical="center" wrapText="1"/>
    </xf>
    <xf numFmtId="0" fontId="33" fillId="3" borderId="88" xfId="2" applyFont="1" applyFill="1" applyBorder="1" applyAlignment="1">
      <alignment horizontal="center" vertical="center" shrinkToFit="1"/>
    </xf>
    <xf numFmtId="0" fontId="33" fillId="3" borderId="106" xfId="2" applyFont="1" applyFill="1" applyBorder="1" applyAlignment="1">
      <alignment horizontal="center" vertical="center" shrinkToFit="1"/>
    </xf>
    <xf numFmtId="0" fontId="33" fillId="8" borderId="8" xfId="2" applyFont="1" applyFill="1" applyBorder="1" applyAlignment="1">
      <alignment horizontal="center" vertical="center" shrinkToFit="1"/>
    </xf>
    <xf numFmtId="0" fontId="33" fillId="3" borderId="8" xfId="2" applyFont="1" applyFill="1" applyBorder="1" applyAlignment="1">
      <alignment horizontal="center" vertical="center" shrinkToFit="1"/>
    </xf>
    <xf numFmtId="0" fontId="33" fillId="3" borderId="11" xfId="2" applyFont="1" applyFill="1" applyBorder="1" applyAlignment="1">
      <alignment horizontal="center" vertical="center" shrinkToFit="1"/>
    </xf>
    <xf numFmtId="41" fontId="33" fillId="3" borderId="11" xfId="1" applyFont="1" applyFill="1" applyBorder="1" applyAlignment="1">
      <alignment horizontal="center" vertical="center" shrinkToFit="1"/>
    </xf>
    <xf numFmtId="0" fontId="33" fillId="3" borderId="1" xfId="2" applyFont="1" applyFill="1" applyBorder="1" applyAlignment="1">
      <alignment horizontal="center" vertical="center" shrinkToFit="1"/>
    </xf>
    <xf numFmtId="41" fontId="33" fillId="3" borderId="1" xfId="1" applyFont="1" applyFill="1" applyBorder="1" applyAlignment="1">
      <alignment horizontal="center" vertical="center" shrinkToFit="1"/>
    </xf>
    <xf numFmtId="0" fontId="42" fillId="6" borderId="131" xfId="2" applyFont="1" applyFill="1" applyBorder="1" applyAlignment="1">
      <alignment horizontal="center" vertical="center" shrinkToFit="1"/>
    </xf>
    <xf numFmtId="0" fontId="42" fillId="6" borderId="132" xfId="2" applyFont="1" applyFill="1" applyBorder="1" applyAlignment="1">
      <alignment horizontal="center" vertical="center" shrinkToFit="1"/>
    </xf>
    <xf numFmtId="0" fontId="42" fillId="6" borderId="130" xfId="2" applyFont="1" applyFill="1" applyBorder="1" applyAlignment="1">
      <alignment horizontal="center" vertical="center" shrinkToFit="1"/>
    </xf>
    <xf numFmtId="3" fontId="7" fillId="3" borderId="0" xfId="1" applyNumberFormat="1" applyFont="1" applyFill="1" applyBorder="1" applyAlignment="1">
      <alignment horizontal="center" vertical="center" wrapText="1"/>
    </xf>
    <xf numFmtId="41" fontId="1" fillId="3" borderId="0" xfId="1" applyFont="1" applyFill="1" applyAlignment="1">
      <alignment horizontal="center" vertical="center"/>
    </xf>
    <xf numFmtId="41" fontId="1" fillId="3" borderId="0" xfId="1" applyFont="1" applyFill="1" applyAlignment="1">
      <alignment vertical="center"/>
    </xf>
    <xf numFmtId="41" fontId="0" fillId="3" borderId="0" xfId="1" applyFont="1" applyFill="1" applyAlignment="1">
      <alignment vertical="center"/>
    </xf>
    <xf numFmtId="41" fontId="0" fillId="3" borderId="0" xfId="1" applyFont="1" applyFill="1" applyAlignment="1">
      <alignment horizontal="center" vertical="center"/>
    </xf>
    <xf numFmtId="0" fontId="42" fillId="0" borderId="198" xfId="2" applyFont="1" applyBorder="1" applyAlignment="1">
      <alignment vertical="center" wrapText="1" shrinkToFit="1"/>
    </xf>
    <xf numFmtId="0" fontId="42" fillId="0" borderId="0" xfId="2" applyFont="1" applyAlignment="1">
      <alignment vertical="center" wrapText="1" shrinkToFit="1"/>
    </xf>
    <xf numFmtId="0" fontId="42" fillId="0" borderId="199" xfId="2" applyFont="1" applyBorder="1" applyAlignment="1">
      <alignment vertical="center" wrapText="1" shrinkToFit="1"/>
    </xf>
    <xf numFmtId="0" fontId="42" fillId="0" borderId="124" xfId="2" applyFont="1" applyBorder="1" applyAlignment="1">
      <alignment vertical="center" wrapText="1" shrinkToFit="1"/>
    </xf>
    <xf numFmtId="41" fontId="7" fillId="3" borderId="0" xfId="1" quotePrefix="1" applyFont="1" applyFill="1" applyBorder="1" applyAlignment="1">
      <alignment horizontal="center" vertical="center" wrapText="1"/>
    </xf>
    <xf numFmtId="0" fontId="42" fillId="0" borderId="168" xfId="2" applyFont="1" applyBorder="1" applyAlignment="1">
      <alignment horizontal="center" vertical="center" shrinkToFit="1"/>
    </xf>
    <xf numFmtId="0" fontId="42" fillId="0" borderId="169" xfId="2" applyFont="1" applyBorder="1" applyAlignment="1">
      <alignment horizontal="center" vertical="center" shrinkToFit="1"/>
    </xf>
    <xf numFmtId="41" fontId="42" fillId="0" borderId="169" xfId="1" applyFont="1" applyFill="1" applyBorder="1" applyAlignment="1">
      <alignment horizontal="right" vertical="center" shrinkToFit="1"/>
    </xf>
    <xf numFmtId="41" fontId="42" fillId="0" borderId="207" xfId="1" applyFont="1" applyFill="1" applyBorder="1" applyAlignment="1">
      <alignment horizontal="right" vertical="center" shrinkToFit="1"/>
    </xf>
    <xf numFmtId="0" fontId="42" fillId="0" borderId="37" xfId="2" applyFont="1" applyBorder="1" applyAlignment="1">
      <alignment vertical="center" wrapText="1" shrinkToFit="1"/>
    </xf>
    <xf numFmtId="0" fontId="42" fillId="0" borderId="125" xfId="2" applyFont="1" applyBorder="1" applyAlignment="1">
      <alignment vertical="center" wrapText="1" shrinkToFit="1"/>
    </xf>
    <xf numFmtId="41" fontId="42" fillId="0" borderId="132" xfId="1" applyFont="1" applyFill="1" applyBorder="1" applyAlignment="1">
      <alignment horizontal="right" vertical="center" shrinkToFit="1"/>
    </xf>
    <xf numFmtId="0" fontId="46" fillId="0" borderId="1" xfId="2" applyFont="1" applyBorder="1">
      <alignment vertical="center"/>
    </xf>
    <xf numFmtId="176" fontId="46" fillId="0" borderId="1" xfId="1" applyNumberFormat="1" applyFont="1" applyBorder="1" applyAlignment="1">
      <alignment horizontal="center" vertical="center"/>
    </xf>
    <xf numFmtId="41" fontId="46" fillId="0" borderId="1" xfId="1" applyFont="1" applyBorder="1" applyAlignment="1">
      <alignment horizontal="center" vertical="center"/>
    </xf>
    <xf numFmtId="41" fontId="21" fillId="0" borderId="16" xfId="1" applyFont="1" applyBorder="1" applyAlignment="1">
      <alignment horizontal="right" vertical="center"/>
    </xf>
    <xf numFmtId="41" fontId="42" fillId="0" borderId="132" xfId="1" applyFont="1" applyFill="1" applyBorder="1" applyAlignment="1">
      <alignment horizontal="center" vertical="center" shrinkToFit="1"/>
    </xf>
    <xf numFmtId="41" fontId="0" fillId="12" borderId="0" xfId="1" applyFont="1" applyFill="1" applyAlignment="1"/>
    <xf numFmtId="0" fontId="33" fillId="3" borderId="86" xfId="2" applyFont="1" applyFill="1" applyBorder="1" applyAlignment="1">
      <alignment horizontal="center" vertical="center" shrinkToFit="1"/>
    </xf>
    <xf numFmtId="41" fontId="33" fillId="4" borderId="208" xfId="1" applyFont="1" applyFill="1" applyBorder="1" applyAlignment="1">
      <alignment vertical="center" shrinkToFit="1"/>
    </xf>
    <xf numFmtId="41" fontId="33" fillId="3" borderId="11" xfId="1" applyFont="1" applyFill="1" applyBorder="1" applyAlignment="1">
      <alignment horizontal="right" vertical="center" shrinkToFit="1"/>
    </xf>
    <xf numFmtId="41" fontId="33" fillId="3" borderId="1" xfId="1" applyFont="1" applyFill="1" applyBorder="1" applyAlignment="1">
      <alignment horizontal="right" vertical="center" shrinkToFit="1"/>
    </xf>
    <xf numFmtId="0" fontId="33" fillId="3" borderId="150" xfId="2" applyFont="1" applyFill="1" applyBorder="1" applyAlignment="1">
      <alignment horizontal="center" vertical="center" wrapText="1" shrinkToFit="1"/>
    </xf>
    <xf numFmtId="41" fontId="33" fillId="0" borderId="209" xfId="1" applyFont="1" applyBorder="1">
      <alignment vertical="center"/>
    </xf>
    <xf numFmtId="41" fontId="49" fillId="3" borderId="25" xfId="1" applyFont="1" applyFill="1" applyBorder="1" applyAlignment="1">
      <alignment vertical="center"/>
    </xf>
    <xf numFmtId="41" fontId="49" fillId="3" borderId="17" xfId="1" applyFont="1" applyFill="1" applyBorder="1" applyAlignment="1">
      <alignment vertical="center"/>
    </xf>
    <xf numFmtId="41" fontId="49" fillId="3" borderId="17" xfId="1" applyFont="1" applyFill="1" applyBorder="1" applyAlignment="1">
      <alignment horizontal="center" vertical="center"/>
    </xf>
    <xf numFmtId="41" fontId="50" fillId="3" borderId="19" xfId="1" applyFont="1" applyFill="1" applyBorder="1" applyAlignment="1">
      <alignment horizontal="center" vertical="center"/>
    </xf>
    <xf numFmtId="41" fontId="50" fillId="3" borderId="35" xfId="1" applyFont="1" applyFill="1" applyBorder="1" applyAlignment="1">
      <alignment horizontal="center" vertical="center"/>
    </xf>
    <xf numFmtId="41" fontId="49" fillId="3" borderId="26" xfId="1" applyFont="1" applyFill="1" applyBorder="1" applyAlignment="1"/>
    <xf numFmtId="41" fontId="49" fillId="3" borderId="1" xfId="1" applyFont="1" applyFill="1" applyBorder="1" applyAlignment="1"/>
    <xf numFmtId="41" fontId="49" fillId="3" borderId="1" xfId="1" applyFont="1" applyFill="1" applyBorder="1" applyAlignment="1">
      <alignment horizontal="center"/>
    </xf>
    <xf numFmtId="41" fontId="50" fillId="3" borderId="66" xfId="1" applyFont="1" applyFill="1" applyBorder="1" applyAlignment="1">
      <alignment vertical="center"/>
    </xf>
    <xf numFmtId="41" fontId="50" fillId="3" borderId="25" xfId="1" applyFont="1" applyFill="1" applyBorder="1" applyAlignment="1">
      <alignment horizontal="left" vertical="center"/>
    </xf>
    <xf numFmtId="41" fontId="50" fillId="3" borderId="34" xfId="1" applyFont="1" applyFill="1" applyBorder="1" applyAlignment="1"/>
    <xf numFmtId="41" fontId="50" fillId="3" borderId="25" xfId="1" applyFont="1" applyFill="1" applyBorder="1" applyAlignment="1">
      <alignment vertical="center"/>
    </xf>
    <xf numFmtId="41" fontId="50" fillId="3" borderId="17" xfId="1" applyFont="1" applyFill="1" applyBorder="1" applyAlignment="1">
      <alignment vertical="center"/>
    </xf>
    <xf numFmtId="41" fontId="50" fillId="3" borderId="17" xfId="1" applyFont="1" applyFill="1" applyBorder="1" applyAlignment="1">
      <alignment horizontal="center" vertical="center"/>
    </xf>
    <xf numFmtId="41" fontId="50" fillId="3" borderId="31" xfId="1" applyFont="1" applyFill="1" applyBorder="1" applyAlignment="1">
      <alignment horizontal="center" vertical="center"/>
    </xf>
    <xf numFmtId="41" fontId="50" fillId="3" borderId="34" xfId="1" applyFont="1" applyFill="1" applyBorder="1" applyAlignment="1">
      <alignment vertical="center"/>
    </xf>
    <xf numFmtId="41" fontId="49" fillId="3" borderId="160" xfId="1" applyFont="1" applyFill="1" applyBorder="1" applyAlignment="1">
      <alignment horizontal="left" vertical="center" wrapText="1"/>
    </xf>
    <xf numFmtId="41" fontId="49" fillId="3" borderId="135" xfId="1" applyFont="1" applyFill="1" applyBorder="1" applyAlignment="1">
      <alignment vertical="center" wrapText="1"/>
    </xf>
    <xf numFmtId="41" fontId="49" fillId="3" borderId="135" xfId="1" applyFont="1" applyFill="1" applyBorder="1" applyAlignment="1">
      <alignment horizontal="center" vertical="center" wrapText="1"/>
    </xf>
    <xf numFmtId="176" fontId="49" fillId="3" borderId="191" xfId="0" applyNumberFormat="1" applyFont="1" applyFill="1" applyBorder="1" applyAlignment="1">
      <alignment vertical="center"/>
    </xf>
    <xf numFmtId="41" fontId="49" fillId="3" borderId="115" xfId="1" applyFont="1" applyFill="1" applyBorder="1" applyAlignment="1">
      <alignment vertical="center" wrapText="1"/>
    </xf>
    <xf numFmtId="41" fontId="49" fillId="3" borderId="115" xfId="1" applyFont="1" applyFill="1" applyBorder="1" applyAlignment="1">
      <alignment horizontal="center" vertical="center" wrapText="1"/>
    </xf>
    <xf numFmtId="176" fontId="49" fillId="3" borderId="157" xfId="0" applyNumberFormat="1" applyFont="1" applyFill="1" applyBorder="1" applyAlignment="1">
      <alignment vertical="center"/>
    </xf>
    <xf numFmtId="41" fontId="49" fillId="3" borderId="173" xfId="1" applyFont="1" applyFill="1" applyBorder="1" applyAlignment="1">
      <alignment vertical="center" wrapText="1"/>
    </xf>
    <xf numFmtId="41" fontId="49" fillId="3" borderId="173" xfId="1" applyFont="1" applyFill="1" applyBorder="1" applyAlignment="1">
      <alignment horizontal="center" vertical="center" wrapText="1"/>
    </xf>
    <xf numFmtId="176" fontId="49" fillId="3" borderId="179" xfId="0" applyNumberFormat="1" applyFont="1" applyFill="1" applyBorder="1" applyAlignment="1">
      <alignment vertical="center"/>
    </xf>
    <xf numFmtId="41" fontId="49" fillId="3" borderId="175" xfId="1" applyFont="1" applyFill="1" applyBorder="1" applyAlignment="1">
      <alignment horizontal="left" vertical="center" wrapText="1"/>
    </xf>
    <xf numFmtId="41" fontId="49" fillId="3" borderId="176" xfId="1" applyFont="1" applyFill="1" applyBorder="1" applyAlignment="1">
      <alignment vertical="center" wrapText="1"/>
    </xf>
    <xf numFmtId="41" fontId="49" fillId="3" borderId="176" xfId="1" applyFont="1" applyFill="1" applyBorder="1" applyAlignment="1">
      <alignment horizontal="center" vertical="center" wrapText="1"/>
    </xf>
    <xf numFmtId="176" fontId="49" fillId="3" borderId="188" xfId="0" applyNumberFormat="1" applyFont="1" applyFill="1" applyBorder="1" applyAlignment="1">
      <alignment vertical="center"/>
    </xf>
    <xf numFmtId="176" fontId="49" fillId="3" borderId="146" xfId="0" applyNumberFormat="1" applyFont="1" applyFill="1" applyBorder="1" applyAlignment="1">
      <alignment vertical="center"/>
    </xf>
    <xf numFmtId="41" fontId="49" fillId="3" borderId="184" xfId="1" applyFont="1" applyFill="1" applyBorder="1" applyAlignment="1">
      <alignment horizontal="left" vertical="center" wrapText="1"/>
    </xf>
    <xf numFmtId="41" fontId="49" fillId="3" borderId="185" xfId="1" applyFont="1" applyFill="1" applyBorder="1" applyAlignment="1">
      <alignment vertical="center" wrapText="1"/>
    </xf>
    <xf numFmtId="41" fontId="49" fillId="3" borderId="185" xfId="1" applyFont="1" applyFill="1" applyBorder="1" applyAlignment="1">
      <alignment horizontal="center" vertical="center" wrapText="1"/>
    </xf>
    <xf numFmtId="0" fontId="49" fillId="3" borderId="197" xfId="3" applyNumberFormat="1" applyFont="1" applyFill="1" applyBorder="1" applyAlignment="1">
      <alignment horizontal="center" vertical="center" wrapText="1"/>
    </xf>
    <xf numFmtId="176" fontId="49" fillId="3" borderId="171" xfId="0" applyNumberFormat="1" applyFont="1" applyFill="1" applyBorder="1" applyAlignment="1">
      <alignment vertical="center"/>
    </xf>
    <xf numFmtId="41" fontId="49" fillId="3" borderId="164" xfId="1" applyFont="1" applyFill="1" applyBorder="1" applyAlignment="1">
      <alignment horizontal="left" vertical="center"/>
    </xf>
    <xf numFmtId="41" fontId="49" fillId="3" borderId="137" xfId="1" applyFont="1" applyFill="1" applyBorder="1" applyAlignment="1">
      <alignment vertical="center"/>
    </xf>
    <xf numFmtId="41" fontId="49" fillId="3" borderId="137" xfId="1" applyFont="1" applyFill="1" applyBorder="1" applyAlignment="1">
      <alignment horizontal="center" vertical="center" wrapText="1"/>
    </xf>
    <xf numFmtId="0" fontId="49" fillId="3" borderId="195" xfId="3" applyNumberFormat="1" applyFont="1" applyFill="1" applyBorder="1" applyAlignment="1">
      <alignment horizontal="center" vertical="center" wrapText="1"/>
    </xf>
    <xf numFmtId="176" fontId="49" fillId="3" borderId="36" xfId="0" applyNumberFormat="1" applyFont="1" applyFill="1" applyBorder="1" applyAlignment="1">
      <alignment vertical="center"/>
    </xf>
    <xf numFmtId="41" fontId="49" fillId="3" borderId="184" xfId="1" applyFont="1" applyFill="1" applyBorder="1" applyAlignment="1">
      <alignment vertical="center" wrapText="1"/>
    </xf>
    <xf numFmtId="41" fontId="49" fillId="3" borderId="168" xfId="1" applyFont="1" applyFill="1" applyBorder="1" applyAlignment="1">
      <alignment vertical="center" wrapText="1"/>
    </xf>
    <xf numFmtId="41" fontId="49" fillId="3" borderId="169" xfId="1" applyFont="1" applyFill="1" applyBorder="1" applyAlignment="1">
      <alignment vertical="center" wrapText="1"/>
    </xf>
    <xf numFmtId="41" fontId="49" fillId="3" borderId="169" xfId="1" applyFont="1" applyFill="1" applyBorder="1" applyAlignment="1">
      <alignment horizontal="center" vertical="center" wrapText="1"/>
    </xf>
    <xf numFmtId="0" fontId="49" fillId="3" borderId="140" xfId="3" applyNumberFormat="1" applyFont="1" applyFill="1" applyBorder="1" applyAlignment="1">
      <alignment horizontal="center" vertical="center" wrapText="1"/>
    </xf>
    <xf numFmtId="176" fontId="49" fillId="3" borderId="81" xfId="0" applyNumberFormat="1" applyFont="1" applyFill="1" applyBorder="1" applyAlignment="1">
      <alignment vertical="center"/>
    </xf>
    <xf numFmtId="41" fontId="50" fillId="3" borderId="25" xfId="1" applyFont="1" applyFill="1" applyBorder="1" applyAlignment="1">
      <alignment vertical="center" wrapText="1"/>
    </xf>
    <xf numFmtId="41" fontId="50" fillId="3" borderId="17" xfId="1" applyFont="1" applyFill="1" applyBorder="1" applyAlignment="1">
      <alignment vertical="center" wrapText="1"/>
    </xf>
    <xf numFmtId="41" fontId="50" fillId="3" borderId="31" xfId="1" applyFont="1" applyFill="1" applyBorder="1" applyAlignment="1">
      <alignment vertical="center" wrapText="1"/>
    </xf>
    <xf numFmtId="41" fontId="50" fillId="3" borderId="26" xfId="1" applyFont="1" applyFill="1" applyBorder="1" applyAlignment="1">
      <alignment vertical="center"/>
    </xf>
    <xf numFmtId="41" fontId="50" fillId="3" borderId="1" xfId="1" applyFont="1" applyFill="1" applyBorder="1" applyAlignment="1">
      <alignment vertical="center"/>
    </xf>
    <xf numFmtId="41" fontId="50" fillId="3" borderId="1" xfId="1" applyFont="1" applyFill="1" applyBorder="1" applyAlignment="1">
      <alignment horizontal="center" vertical="center"/>
    </xf>
    <xf numFmtId="41" fontId="50" fillId="3" borderId="30" xfId="1" applyFont="1" applyFill="1" applyBorder="1" applyAlignment="1">
      <alignment vertical="center"/>
    </xf>
    <xf numFmtId="41" fontId="49" fillId="3" borderId="200" xfId="1" applyFont="1" applyFill="1" applyBorder="1" applyAlignment="1">
      <alignment vertical="center" wrapText="1"/>
    </xf>
    <xf numFmtId="41" fontId="49" fillId="3" borderId="201" xfId="1" applyFont="1" applyFill="1" applyBorder="1" applyAlignment="1">
      <alignment horizontal="center" vertical="center"/>
    </xf>
    <xf numFmtId="41" fontId="49" fillId="3" borderId="201" xfId="1" applyFont="1" applyFill="1" applyBorder="1" applyAlignment="1">
      <alignment vertical="center" wrapText="1"/>
    </xf>
    <xf numFmtId="41" fontId="49" fillId="3" borderId="201" xfId="1" applyFont="1" applyFill="1" applyBorder="1" applyAlignment="1">
      <alignment horizontal="center" vertical="center" wrapText="1"/>
    </xf>
    <xf numFmtId="41" fontId="49" fillId="3" borderId="202" xfId="1" applyFont="1" applyFill="1" applyBorder="1" applyAlignment="1">
      <alignment horizontal="center" vertical="center"/>
    </xf>
    <xf numFmtId="176" fontId="49" fillId="3" borderId="35" xfId="0" applyNumberFormat="1" applyFont="1" applyFill="1" applyBorder="1" applyAlignment="1">
      <alignment vertical="center"/>
    </xf>
    <xf numFmtId="41" fontId="49" fillId="3" borderId="185" xfId="1" applyFont="1" applyFill="1" applyBorder="1" applyAlignment="1">
      <alignment horizontal="center" vertical="center"/>
    </xf>
    <xf numFmtId="41" fontId="49" fillId="3" borderId="186" xfId="1" applyFont="1" applyFill="1" applyBorder="1" applyAlignment="1">
      <alignment horizontal="center" vertical="center"/>
    </xf>
    <xf numFmtId="41" fontId="49" fillId="3" borderId="184" xfId="1" applyFont="1" applyFill="1" applyBorder="1" applyAlignment="1">
      <alignment horizontal="left" vertical="center"/>
    </xf>
    <xf numFmtId="41" fontId="49" fillId="3" borderId="182" xfId="1" applyFont="1" applyFill="1" applyBorder="1" applyAlignment="1">
      <alignment horizontal="left" vertical="center" wrapText="1"/>
    </xf>
    <xf numFmtId="41" fontId="49" fillId="3" borderId="192" xfId="1" applyFont="1" applyFill="1" applyBorder="1" applyAlignment="1">
      <alignment horizontal="center" vertical="center"/>
    </xf>
    <xf numFmtId="41" fontId="49" fillId="3" borderId="192" xfId="1" applyFont="1" applyFill="1" applyBorder="1" applyAlignment="1">
      <alignment vertical="center" wrapText="1"/>
    </xf>
    <xf numFmtId="41" fontId="49" fillId="3" borderId="192" xfId="1" applyFont="1" applyFill="1" applyBorder="1" applyAlignment="1">
      <alignment horizontal="center" vertical="center" wrapText="1"/>
    </xf>
    <xf numFmtId="41" fontId="49" fillId="3" borderId="180" xfId="1" applyFont="1" applyFill="1" applyBorder="1" applyAlignment="1">
      <alignment horizontal="center" vertical="center"/>
    </xf>
    <xf numFmtId="176" fontId="49" fillId="3" borderId="65" xfId="0" applyNumberFormat="1" applyFont="1" applyFill="1" applyBorder="1" applyAlignment="1">
      <alignment vertical="center"/>
    </xf>
    <xf numFmtId="41" fontId="49" fillId="3" borderId="135" xfId="1" applyFont="1" applyFill="1" applyBorder="1" applyAlignment="1">
      <alignment horizontal="center" vertical="center"/>
    </xf>
    <xf numFmtId="41" fontId="49" fillId="3" borderId="154" xfId="1" applyFont="1" applyFill="1" applyBorder="1" applyAlignment="1">
      <alignment horizontal="left" vertical="center" wrapText="1"/>
    </xf>
    <xf numFmtId="41" fontId="49" fillId="3" borderId="155" xfId="1" applyFont="1" applyFill="1" applyBorder="1" applyAlignment="1">
      <alignment horizontal="center" vertical="center"/>
    </xf>
    <xf numFmtId="41" fontId="49" fillId="3" borderId="155" xfId="1" applyFont="1" applyFill="1" applyBorder="1" applyAlignment="1">
      <alignment vertical="center" wrapText="1"/>
    </xf>
    <xf numFmtId="41" fontId="49" fillId="3" borderId="155" xfId="1" applyFont="1" applyFill="1" applyBorder="1" applyAlignment="1">
      <alignment horizontal="center" vertical="center" wrapText="1"/>
    </xf>
    <xf numFmtId="41" fontId="49" fillId="3" borderId="156" xfId="1" applyFont="1" applyFill="1" applyBorder="1" applyAlignment="1">
      <alignment horizontal="center" vertical="center"/>
    </xf>
    <xf numFmtId="176" fontId="49" fillId="3" borderId="147" xfId="0" applyNumberFormat="1" applyFont="1" applyFill="1" applyBorder="1" applyAlignment="1">
      <alignment vertical="center"/>
    </xf>
    <xf numFmtId="41" fontId="49" fillId="3" borderId="111" xfId="1" applyFont="1" applyFill="1" applyBorder="1" applyAlignment="1">
      <alignment horizontal="center" vertical="center" wrapText="1"/>
    </xf>
    <xf numFmtId="41" fontId="49" fillId="3" borderId="111" xfId="1" applyFont="1" applyFill="1" applyBorder="1" applyAlignment="1">
      <alignment vertical="center" wrapText="1"/>
    </xf>
    <xf numFmtId="41" fontId="49" fillId="3" borderId="112" xfId="1" applyFont="1" applyFill="1" applyBorder="1" applyAlignment="1">
      <alignment horizontal="center" vertical="center"/>
    </xf>
    <xf numFmtId="41" fontId="49" fillId="3" borderId="191" xfId="1" applyFont="1" applyFill="1" applyBorder="1" applyAlignment="1">
      <alignment vertical="center"/>
    </xf>
    <xf numFmtId="41" fontId="49" fillId="3" borderId="116" xfId="1" applyFont="1" applyFill="1" applyBorder="1" applyAlignment="1">
      <alignment horizontal="center" vertical="center"/>
    </xf>
    <xf numFmtId="41" fontId="49" fillId="3" borderId="157" xfId="1" applyFont="1" applyFill="1" applyBorder="1" applyAlignment="1">
      <alignment vertical="center"/>
    </xf>
    <xf numFmtId="41" fontId="49" fillId="3" borderId="193" xfId="1" applyFont="1" applyFill="1" applyBorder="1" applyAlignment="1">
      <alignment horizontal="center" vertical="center"/>
    </xf>
    <xf numFmtId="41" fontId="49" fillId="3" borderId="179" xfId="1" applyFont="1" applyFill="1" applyBorder="1" applyAlignment="1">
      <alignment vertical="center"/>
    </xf>
    <xf numFmtId="41" fontId="49" fillId="3" borderId="194" xfId="1" applyFont="1" applyFill="1" applyBorder="1" applyAlignment="1">
      <alignment horizontal="center" vertical="center"/>
    </xf>
    <xf numFmtId="41" fontId="49" fillId="3" borderId="188" xfId="1" applyFont="1" applyFill="1" applyBorder="1" applyAlignment="1">
      <alignment vertical="center"/>
    </xf>
    <xf numFmtId="41" fontId="49" fillId="3" borderId="164" xfId="1" applyFont="1" applyFill="1" applyBorder="1" applyAlignment="1">
      <alignment horizontal="left" vertical="center" wrapText="1"/>
    </xf>
    <xf numFmtId="41" fontId="49" fillId="3" borderId="137" xfId="1" applyFont="1" applyFill="1" applyBorder="1" applyAlignment="1">
      <alignment vertical="center" wrapText="1"/>
    </xf>
    <xf numFmtId="41" fontId="49" fillId="3" borderId="36" xfId="1" applyFont="1" applyFill="1" applyBorder="1" applyAlignment="1">
      <alignment vertical="center"/>
    </xf>
    <xf numFmtId="41" fontId="49" fillId="3" borderId="185" xfId="1" applyFont="1" applyFill="1" applyBorder="1" applyAlignment="1">
      <alignment vertical="center"/>
    </xf>
    <xf numFmtId="41" fontId="49" fillId="3" borderId="197" xfId="1" applyFont="1" applyFill="1" applyBorder="1" applyAlignment="1">
      <alignment horizontal="center" vertical="center"/>
    </xf>
    <xf numFmtId="41" fontId="49" fillId="3" borderId="171" xfId="1" applyFont="1" applyFill="1" applyBorder="1" applyAlignment="1">
      <alignment vertical="center"/>
    </xf>
    <xf numFmtId="41" fontId="49" fillId="3" borderId="140" xfId="1" applyFont="1" applyFill="1" applyBorder="1" applyAlignment="1">
      <alignment horizontal="center" vertical="center"/>
    </xf>
    <xf numFmtId="41" fontId="49" fillId="3" borderId="81" xfId="1" applyFont="1" applyFill="1" applyBorder="1" applyAlignment="1">
      <alignment vertical="center"/>
    </xf>
    <xf numFmtId="41" fontId="50" fillId="3" borderId="20" xfId="1" applyFont="1" applyFill="1" applyBorder="1" applyAlignment="1">
      <alignment vertical="center"/>
    </xf>
    <xf numFmtId="41" fontId="50" fillId="3" borderId="21" xfId="1" applyFont="1" applyFill="1" applyBorder="1" applyAlignment="1">
      <alignment horizontal="center" vertical="center"/>
    </xf>
    <xf numFmtId="41" fontId="50" fillId="3" borderId="21" xfId="1" applyFont="1" applyFill="1" applyBorder="1" applyAlignment="1">
      <alignment vertical="center"/>
    </xf>
    <xf numFmtId="41" fontId="50" fillId="3" borderId="6" xfId="1" applyFont="1" applyFill="1" applyBorder="1" applyAlignment="1">
      <alignment horizontal="center" vertical="center"/>
    </xf>
    <xf numFmtId="41" fontId="49" fillId="3" borderId="174" xfId="1" applyFont="1" applyFill="1" applyBorder="1" applyAlignment="1">
      <alignment horizontal="center" vertical="center" wrapText="1"/>
    </xf>
    <xf numFmtId="41" fontId="49" fillId="3" borderId="161" xfId="1" applyFont="1" applyFill="1" applyBorder="1" applyAlignment="1">
      <alignment horizontal="center" vertical="center" wrapText="1"/>
    </xf>
    <xf numFmtId="41" fontId="49" fillId="3" borderId="177" xfId="1" applyFont="1" applyFill="1" applyBorder="1" applyAlignment="1">
      <alignment vertical="center" wrapText="1"/>
    </xf>
    <xf numFmtId="41" fontId="49" fillId="3" borderId="177" xfId="1" applyFont="1" applyFill="1" applyBorder="1" applyAlignment="1">
      <alignment horizontal="center" vertical="center" wrapText="1"/>
    </xf>
    <xf numFmtId="41" fontId="49" fillId="3" borderId="181" xfId="1" applyFont="1" applyFill="1" applyBorder="1" applyAlignment="1">
      <alignment horizontal="center" vertical="center" wrapText="1"/>
    </xf>
    <xf numFmtId="41" fontId="49" fillId="3" borderId="170" xfId="1" applyFont="1" applyFill="1" applyBorder="1" applyAlignment="1">
      <alignment horizontal="center" vertical="center" wrapText="1"/>
    </xf>
    <xf numFmtId="41" fontId="49" fillId="3" borderId="186" xfId="1" applyFont="1" applyFill="1" applyBorder="1" applyAlignment="1">
      <alignment horizontal="center" vertical="center" wrapText="1"/>
    </xf>
    <xf numFmtId="41" fontId="49" fillId="3" borderId="36" xfId="1" applyFont="1" applyFill="1" applyBorder="1" applyAlignment="1">
      <alignment horizontal="center" vertical="center"/>
    </xf>
    <xf numFmtId="41" fontId="49" fillId="3" borderId="131" xfId="1" applyFont="1" applyFill="1" applyBorder="1" applyAlignment="1">
      <alignment vertical="center" wrapText="1"/>
    </xf>
    <xf numFmtId="41" fontId="49" fillId="3" borderId="131" xfId="1" applyFont="1" applyFill="1" applyBorder="1" applyAlignment="1">
      <alignment horizontal="center" vertical="center" wrapText="1"/>
    </xf>
    <xf numFmtId="41" fontId="49" fillId="3" borderId="188" xfId="1" applyFont="1" applyFill="1" applyBorder="1" applyAlignment="1">
      <alignment horizontal="center" vertical="center" wrapText="1"/>
    </xf>
    <xf numFmtId="41" fontId="50" fillId="3" borderId="84" xfId="1" applyFont="1" applyFill="1" applyBorder="1" applyAlignment="1">
      <alignment horizontal="center" vertical="center"/>
    </xf>
    <xf numFmtId="41" fontId="49" fillId="3" borderId="182" xfId="1" applyFont="1" applyFill="1" applyBorder="1" applyAlignment="1">
      <alignment vertical="center" wrapText="1"/>
    </xf>
    <xf numFmtId="41" fontId="49" fillId="3" borderId="53" xfId="1" applyFont="1" applyFill="1" applyBorder="1" applyAlignment="1">
      <alignment vertical="center"/>
    </xf>
    <xf numFmtId="41" fontId="49" fillId="3" borderId="65" xfId="1" applyFont="1" applyFill="1" applyBorder="1" applyAlignment="1">
      <alignment vertical="center"/>
    </xf>
    <xf numFmtId="9" fontId="49" fillId="3" borderId="173" xfId="1" applyNumberFormat="1" applyFont="1" applyFill="1" applyBorder="1" applyAlignment="1">
      <alignment horizontal="center" vertical="center" wrapText="1"/>
    </xf>
    <xf numFmtId="9" fontId="49" fillId="3" borderId="176" xfId="1" applyNumberFormat="1" applyFont="1" applyFill="1" applyBorder="1" applyAlignment="1">
      <alignment horizontal="center" vertical="center" wrapText="1"/>
    </xf>
    <xf numFmtId="41" fontId="49" fillId="3" borderId="43" xfId="1" applyFont="1" applyFill="1" applyBorder="1" applyAlignment="1">
      <alignment vertical="center"/>
    </xf>
    <xf numFmtId="41" fontId="49" fillId="3" borderId="168" xfId="1" applyFont="1" applyFill="1" applyBorder="1" applyAlignment="1">
      <alignment vertical="center"/>
    </xf>
    <xf numFmtId="41" fontId="49" fillId="3" borderId="169" xfId="1" applyFont="1" applyFill="1" applyBorder="1" applyAlignment="1">
      <alignment vertical="center"/>
    </xf>
    <xf numFmtId="41" fontId="49" fillId="3" borderId="169" xfId="1" applyFont="1" applyFill="1" applyBorder="1" applyAlignment="1">
      <alignment horizontal="center" vertical="center"/>
    </xf>
    <xf numFmtId="0" fontId="49" fillId="3" borderId="189" xfId="1" applyNumberFormat="1" applyFont="1" applyFill="1" applyBorder="1" applyAlignment="1">
      <alignment horizontal="center" vertical="center"/>
    </xf>
    <xf numFmtId="41" fontId="36" fillId="3" borderId="153" xfId="1" applyFont="1" applyFill="1" applyBorder="1" applyAlignment="1">
      <alignment vertical="center"/>
    </xf>
    <xf numFmtId="41" fontId="36" fillId="3" borderId="111" xfId="1" applyFont="1" applyFill="1" applyBorder="1" applyAlignment="1">
      <alignment horizontal="center" vertical="center"/>
    </xf>
    <xf numFmtId="41" fontId="49" fillId="3" borderId="111" xfId="1" applyFont="1" applyFill="1" applyBorder="1" applyAlignment="1">
      <alignment horizontal="center" vertical="center"/>
    </xf>
    <xf numFmtId="41" fontId="49" fillId="3" borderId="113" xfId="1" applyFont="1" applyFill="1" applyBorder="1" applyAlignment="1">
      <alignment horizontal="center" vertical="center"/>
    </xf>
    <xf numFmtId="41" fontId="36" fillId="3" borderId="154" xfId="1" applyFont="1" applyFill="1" applyBorder="1" applyAlignment="1">
      <alignment vertical="center"/>
    </xf>
    <xf numFmtId="41" fontId="36" fillId="3" borderId="155" xfId="1" applyFont="1" applyFill="1" applyBorder="1" applyAlignment="1">
      <alignment horizontal="center" vertical="center"/>
    </xf>
    <xf numFmtId="41" fontId="49" fillId="3" borderId="160" xfId="1" applyFont="1" applyFill="1" applyBorder="1" applyAlignment="1">
      <alignment vertical="center" wrapText="1"/>
    </xf>
    <xf numFmtId="41" fontId="49" fillId="3" borderId="135" xfId="1" quotePrefix="1" applyFont="1" applyFill="1" applyBorder="1" applyAlignment="1">
      <alignment vertical="center" wrapText="1"/>
    </xf>
    <xf numFmtId="10" fontId="49" fillId="3" borderId="111" xfId="4" quotePrefix="1" applyNumberFormat="1" applyFont="1" applyFill="1" applyBorder="1" applyAlignment="1">
      <alignment horizontal="center" vertical="center" wrapText="1"/>
    </xf>
    <xf numFmtId="41" fontId="49" fillId="3" borderId="136" xfId="1" applyFont="1" applyFill="1" applyBorder="1" applyAlignment="1">
      <alignment vertical="center" wrapText="1"/>
    </xf>
    <xf numFmtId="41" fontId="49" fillId="3" borderId="131" xfId="1" quotePrefix="1" applyFont="1" applyFill="1" applyBorder="1" applyAlignment="1">
      <alignment vertical="center" wrapText="1"/>
    </xf>
    <xf numFmtId="10" fontId="49" fillId="3" borderId="131" xfId="4" quotePrefix="1" applyNumberFormat="1" applyFont="1" applyFill="1" applyBorder="1" applyAlignment="1">
      <alignment horizontal="center" vertical="center" wrapText="1"/>
    </xf>
    <xf numFmtId="41" fontId="49" fillId="3" borderId="134" xfId="1" applyFont="1" applyFill="1" applyBorder="1" applyAlignment="1">
      <alignment horizontal="center" vertical="center" wrapText="1"/>
    </xf>
    <xf numFmtId="41" fontId="49" fillId="3" borderId="49" xfId="1" applyFont="1" applyFill="1" applyBorder="1" applyAlignment="1">
      <alignment vertical="center"/>
    </xf>
    <xf numFmtId="41" fontId="49" fillId="3" borderId="136" xfId="1" applyFont="1" applyFill="1" applyBorder="1" applyAlignment="1">
      <alignment vertical="center"/>
    </xf>
    <xf numFmtId="41" fontId="49" fillId="3" borderId="154" xfId="1" applyFont="1" applyFill="1" applyBorder="1" applyAlignment="1">
      <alignment vertical="center" wrapText="1"/>
    </xf>
    <xf numFmtId="10" fontId="49" fillId="3" borderId="155" xfId="4" quotePrefix="1" applyNumberFormat="1" applyFont="1" applyFill="1" applyBorder="1" applyAlignment="1">
      <alignment horizontal="center" vertical="center" wrapText="1"/>
    </xf>
    <xf numFmtId="41" fontId="49" fillId="3" borderId="156" xfId="1" applyFont="1" applyFill="1" applyBorder="1" applyAlignment="1">
      <alignment horizontal="center" vertical="center" wrapText="1"/>
    </xf>
    <xf numFmtId="41" fontId="49" fillId="3" borderId="162" xfId="1" applyFont="1" applyFill="1" applyBorder="1" applyAlignment="1">
      <alignment vertical="center" wrapText="1"/>
    </xf>
    <xf numFmtId="41" fontId="49" fillId="3" borderId="190" xfId="1" quotePrefix="1" applyFont="1" applyFill="1" applyBorder="1" applyAlignment="1">
      <alignment vertical="center" wrapText="1"/>
    </xf>
    <xf numFmtId="41" fontId="49" fillId="3" borderId="204" xfId="1" applyFont="1" applyFill="1" applyBorder="1" applyAlignment="1">
      <alignment vertical="center" wrapText="1"/>
    </xf>
    <xf numFmtId="10" fontId="49" fillId="3" borderId="190" xfId="1" applyNumberFormat="1" applyFont="1" applyFill="1" applyBorder="1" applyAlignment="1">
      <alignment horizontal="center" vertical="center" wrapText="1"/>
    </xf>
    <xf numFmtId="176" fontId="49" fillId="3" borderId="6" xfId="0" applyNumberFormat="1" applyFont="1" applyFill="1" applyBorder="1" applyAlignment="1">
      <alignment horizontal="center" vertical="center" wrapText="1"/>
    </xf>
    <xf numFmtId="41" fontId="49" fillId="3" borderId="70" xfId="1" applyFont="1" applyFill="1" applyBorder="1" applyAlignment="1">
      <alignment vertical="center"/>
    </xf>
    <xf numFmtId="41" fontId="49" fillId="3" borderId="185" xfId="1" quotePrefix="1" applyFont="1" applyFill="1" applyBorder="1" applyAlignment="1">
      <alignment vertical="center" wrapText="1"/>
    </xf>
    <xf numFmtId="41" fontId="49" fillId="3" borderId="197" xfId="1" applyFont="1" applyFill="1" applyBorder="1" applyAlignment="1">
      <alignment vertical="center" wrapText="1"/>
    </xf>
    <xf numFmtId="10" fontId="49" fillId="3" borderId="185" xfId="1" applyNumberFormat="1" applyFont="1" applyFill="1" applyBorder="1" applyAlignment="1">
      <alignment horizontal="center" vertical="center" wrapText="1"/>
    </xf>
    <xf numFmtId="41" fontId="49" fillId="3" borderId="169" xfId="1" quotePrefix="1" applyFont="1" applyFill="1" applyBorder="1" applyAlignment="1">
      <alignment vertical="center" wrapText="1"/>
    </xf>
    <xf numFmtId="41" fontId="49" fillId="3" borderId="140" xfId="1" applyFont="1" applyFill="1" applyBorder="1" applyAlignment="1">
      <alignment vertical="center" wrapText="1"/>
    </xf>
    <xf numFmtId="10" fontId="49" fillId="3" borderId="169" xfId="1" applyNumberFormat="1" applyFont="1" applyFill="1" applyBorder="1" applyAlignment="1">
      <alignment horizontal="center" vertical="center" wrapText="1"/>
    </xf>
    <xf numFmtId="41" fontId="49" fillId="3" borderId="136" xfId="1" applyFont="1" applyFill="1" applyBorder="1" applyAlignment="1">
      <alignment horizontal="left" vertical="center" wrapText="1"/>
    </xf>
    <xf numFmtId="41" fontId="49" fillId="3" borderId="17" xfId="1" applyFont="1" applyFill="1" applyBorder="1" applyAlignment="1">
      <alignment horizontal="center" vertical="center" wrapText="1"/>
    </xf>
    <xf numFmtId="41" fontId="50" fillId="3" borderId="19" xfId="1" applyFont="1" applyFill="1" applyBorder="1" applyAlignment="1">
      <alignment vertical="center"/>
    </xf>
    <xf numFmtId="41" fontId="50" fillId="3" borderId="17" xfId="1" applyFont="1" applyFill="1" applyBorder="1" applyAlignment="1">
      <alignment horizontal="center" vertical="center" wrapText="1"/>
    </xf>
    <xf numFmtId="41" fontId="49" fillId="3" borderId="153" xfId="1" applyFont="1" applyFill="1" applyBorder="1" applyAlignment="1">
      <alignment vertical="center" wrapText="1"/>
    </xf>
    <xf numFmtId="41" fontId="49" fillId="3" borderId="21" xfId="1" applyFont="1" applyFill="1" applyBorder="1" applyAlignment="1">
      <alignment horizontal="center" vertical="center" wrapText="1"/>
    </xf>
    <xf numFmtId="41" fontId="49" fillId="3" borderId="152" xfId="1" applyFont="1" applyFill="1" applyBorder="1" applyAlignment="1">
      <alignment vertical="center"/>
    </xf>
    <xf numFmtId="41" fontId="49" fillId="3" borderId="146" xfId="1" applyFont="1" applyFill="1" applyBorder="1" applyAlignment="1">
      <alignment vertical="center"/>
    </xf>
    <xf numFmtId="41" fontId="50" fillId="3" borderId="165" xfId="1" applyFont="1" applyFill="1" applyBorder="1" applyAlignment="1">
      <alignment horizontal="left" vertical="center" wrapText="1"/>
    </xf>
    <xf numFmtId="41" fontId="49" fillId="3" borderId="166" xfId="1" applyFont="1" applyFill="1" applyBorder="1" applyAlignment="1">
      <alignment horizontal="center" vertical="center" wrapText="1"/>
    </xf>
    <xf numFmtId="41" fontId="50" fillId="3" borderId="31" xfId="1" applyFont="1" applyFill="1" applyBorder="1" applyAlignment="1">
      <alignment vertical="center"/>
    </xf>
    <xf numFmtId="41" fontId="50" fillId="3" borderId="160" xfId="1" applyFont="1" applyFill="1" applyBorder="1" applyAlignment="1">
      <alignment horizontal="left" vertical="center" wrapText="1"/>
    </xf>
    <xf numFmtId="41" fontId="49" fillId="3" borderId="147" xfId="1" applyFont="1" applyFill="1" applyBorder="1" applyAlignment="1">
      <alignment vertical="center"/>
    </xf>
    <xf numFmtId="41" fontId="49" fillId="3" borderId="17" xfId="1" applyFont="1" applyFill="1" applyBorder="1" applyAlignment="1">
      <alignment vertical="center" wrapText="1"/>
    </xf>
    <xf numFmtId="41" fontId="49" fillId="3" borderId="37" xfId="1" applyFont="1" applyFill="1" applyBorder="1" applyAlignment="1">
      <alignment vertical="center"/>
    </xf>
    <xf numFmtId="41" fontId="49" fillId="3" borderId="176" xfId="1" applyFont="1" applyFill="1" applyBorder="1" applyAlignment="1">
      <alignment vertical="center"/>
    </xf>
    <xf numFmtId="41" fontId="49" fillId="3" borderId="176" xfId="1" applyFont="1" applyFill="1" applyBorder="1" applyAlignment="1">
      <alignment horizontal="center" vertical="center"/>
    </xf>
    <xf numFmtId="41" fontId="49" fillId="3" borderId="135" xfId="1" applyFont="1" applyFill="1" applyBorder="1" applyAlignment="1">
      <alignment vertical="center"/>
    </xf>
    <xf numFmtId="41" fontId="49" fillId="3" borderId="21" xfId="1" applyFont="1" applyFill="1" applyBorder="1" applyAlignment="1">
      <alignment horizontal="center" vertical="center"/>
    </xf>
    <xf numFmtId="41" fontId="49" fillId="3" borderId="20" xfId="1" applyFont="1" applyFill="1" applyBorder="1" applyAlignment="1">
      <alignment vertical="center"/>
    </xf>
    <xf numFmtId="41" fontId="49" fillId="3" borderId="137" xfId="1" applyFont="1" applyFill="1" applyBorder="1" applyAlignment="1">
      <alignment horizontal="center" vertical="center"/>
    </xf>
    <xf numFmtId="41" fontId="49" fillId="3" borderId="111" xfId="1" applyFont="1" applyFill="1" applyBorder="1" applyAlignment="1">
      <alignment vertical="center"/>
    </xf>
    <xf numFmtId="41" fontId="49" fillId="3" borderId="131" xfId="1" applyFont="1" applyFill="1" applyBorder="1" applyAlignment="1">
      <alignment vertical="center"/>
    </xf>
    <xf numFmtId="41" fontId="49" fillId="3" borderId="131" xfId="1" applyFont="1" applyFill="1" applyBorder="1" applyAlignment="1">
      <alignment horizontal="center" vertical="center"/>
    </xf>
    <xf numFmtId="41" fontId="49" fillId="3" borderId="134" xfId="1" applyFont="1" applyFill="1" applyBorder="1" applyAlignment="1">
      <alignment horizontal="center" vertical="center"/>
    </xf>
    <xf numFmtId="41" fontId="50" fillId="3" borderId="111" xfId="1" applyFont="1" applyFill="1" applyBorder="1" applyAlignment="1">
      <alignment horizontal="center" vertical="center"/>
    </xf>
    <xf numFmtId="41" fontId="49" fillId="3" borderId="115" xfId="1" applyFont="1" applyFill="1" applyBorder="1" applyAlignment="1">
      <alignment horizontal="center" vertical="center"/>
    </xf>
    <xf numFmtId="41" fontId="50" fillId="3" borderId="173" xfId="1" applyFont="1" applyFill="1" applyBorder="1" applyAlignment="1">
      <alignment horizontal="center" vertical="center"/>
    </xf>
    <xf numFmtId="41" fontId="49" fillId="3" borderId="173" xfId="1" applyFont="1" applyFill="1" applyBorder="1" applyAlignment="1">
      <alignment horizontal="center" vertical="center"/>
    </xf>
    <xf numFmtId="41" fontId="49" fillId="3" borderId="177" xfId="1" applyFont="1" applyFill="1" applyBorder="1" applyAlignment="1">
      <alignment horizontal="center" vertical="center"/>
    </xf>
    <xf numFmtId="41" fontId="49" fillId="3" borderId="65" xfId="1" applyFont="1" applyFill="1" applyBorder="1" applyAlignment="1">
      <alignment horizontal="center" vertical="center"/>
    </xf>
    <xf numFmtId="41" fontId="49" fillId="3" borderId="159" xfId="1" applyFont="1" applyFill="1" applyBorder="1" applyAlignment="1">
      <alignment horizontal="center" vertical="center"/>
    </xf>
    <xf numFmtId="41" fontId="50" fillId="3" borderId="172" xfId="1" applyFont="1" applyFill="1" applyBorder="1" applyAlignment="1">
      <alignment vertical="center"/>
    </xf>
    <xf numFmtId="41" fontId="49" fillId="3" borderId="173" xfId="1" applyFont="1" applyFill="1" applyBorder="1" applyAlignment="1">
      <alignment vertical="center"/>
    </xf>
    <xf numFmtId="41" fontId="49" fillId="3" borderId="174" xfId="1" applyFont="1" applyFill="1" applyBorder="1" applyAlignment="1">
      <alignment horizontal="center" vertical="center"/>
    </xf>
    <xf numFmtId="41" fontId="49" fillId="3" borderId="175" xfId="1" applyFont="1" applyFill="1" applyBorder="1" applyAlignment="1">
      <alignment vertical="center"/>
    </xf>
    <xf numFmtId="41" fontId="49" fillId="3" borderId="178" xfId="1" applyFont="1" applyFill="1" applyBorder="1" applyAlignment="1">
      <alignment horizontal="center" vertical="center"/>
    </xf>
    <xf numFmtId="41" fontId="48" fillId="3" borderId="19" xfId="1" applyFont="1" applyFill="1" applyBorder="1" applyAlignment="1">
      <alignment vertical="center"/>
    </xf>
    <xf numFmtId="41" fontId="49" fillId="3" borderId="26" xfId="1" applyFont="1" applyFill="1" applyBorder="1" applyAlignment="1">
      <alignment vertical="center"/>
    </xf>
    <xf numFmtId="41" fontId="49" fillId="3" borderId="1" xfId="1" applyFont="1" applyFill="1" applyBorder="1" applyAlignment="1">
      <alignment vertical="center"/>
    </xf>
    <xf numFmtId="41" fontId="50" fillId="3" borderId="0" xfId="1" applyFont="1" applyFill="1" applyBorder="1" applyAlignment="1">
      <alignment vertical="center"/>
    </xf>
    <xf numFmtId="41" fontId="49" fillId="3" borderId="115" xfId="1" applyFont="1" applyFill="1" applyBorder="1" applyAlignment="1">
      <alignment vertical="center"/>
    </xf>
    <xf numFmtId="41" fontId="49" fillId="3" borderId="0" xfId="1" applyFont="1" applyFill="1" applyBorder="1" applyAlignment="1"/>
    <xf numFmtId="41" fontId="49" fillId="3" borderId="0" xfId="1" applyFont="1" applyFill="1" applyBorder="1" applyAlignment="1">
      <alignment horizontal="center"/>
    </xf>
    <xf numFmtId="41" fontId="36" fillId="3" borderId="0" xfId="1" applyFont="1" applyFill="1" applyAlignment="1"/>
    <xf numFmtId="41" fontId="36" fillId="3" borderId="0" xfId="1" applyFont="1" applyFill="1" applyAlignment="1">
      <alignment horizontal="center"/>
    </xf>
    <xf numFmtId="41" fontId="48" fillId="3" borderId="19" xfId="1" applyFont="1" applyFill="1" applyBorder="1" applyAlignment="1">
      <alignment horizontal="center" vertical="center"/>
    </xf>
    <xf numFmtId="41" fontId="48" fillId="3" borderId="25" xfId="1" applyFont="1" applyFill="1" applyBorder="1" applyAlignment="1">
      <alignment horizontal="center" vertical="center"/>
    </xf>
    <xf numFmtId="41" fontId="50" fillId="3" borderId="26" xfId="1" applyFont="1" applyFill="1" applyBorder="1" applyAlignment="1">
      <alignment horizontal="center" vertical="center"/>
    </xf>
    <xf numFmtId="41" fontId="50" fillId="3" borderId="25" xfId="1" applyFont="1" applyFill="1" applyBorder="1" applyAlignment="1">
      <alignment horizontal="center" vertical="center"/>
    </xf>
    <xf numFmtId="41" fontId="50" fillId="3" borderId="85" xfId="1" applyFont="1" applyFill="1" applyBorder="1" applyAlignment="1">
      <alignment horizontal="center" vertical="center"/>
    </xf>
    <xf numFmtId="41" fontId="50" fillId="3" borderId="36" xfId="1" applyFont="1" applyFill="1" applyBorder="1" applyAlignment="1">
      <alignment horizontal="center" vertical="center"/>
    </xf>
    <xf numFmtId="41" fontId="50" fillId="3" borderId="66" xfId="1" applyFont="1" applyFill="1" applyBorder="1" applyAlignment="1">
      <alignment horizontal="center" vertical="center"/>
    </xf>
    <xf numFmtId="41" fontId="50" fillId="3" borderId="67" xfId="1" applyFont="1" applyFill="1" applyBorder="1" applyAlignment="1">
      <alignment vertical="center"/>
    </xf>
    <xf numFmtId="41" fontId="50" fillId="3" borderId="37" xfId="1" applyFont="1" applyFill="1" applyBorder="1" applyAlignment="1">
      <alignment horizontal="center" vertical="center"/>
    </xf>
    <xf numFmtId="41" fontId="50" fillId="3" borderId="0" xfId="1" applyFont="1" applyFill="1" applyBorder="1" applyAlignment="1">
      <alignment horizontal="center" vertical="center"/>
    </xf>
    <xf numFmtId="41" fontId="50" fillId="3" borderId="70" xfId="1" applyFont="1" applyFill="1" applyBorder="1" applyAlignment="1">
      <alignment horizontal="center" vertical="center"/>
    </xf>
    <xf numFmtId="41" fontId="50" fillId="3" borderId="81" xfId="1" applyFont="1" applyFill="1" applyBorder="1" applyAlignment="1">
      <alignment horizontal="center" vertical="center"/>
    </xf>
    <xf numFmtId="41" fontId="50" fillId="3" borderId="50" xfId="1" applyFont="1" applyFill="1" applyBorder="1" applyAlignment="1">
      <alignment horizontal="center" vertical="center"/>
    </xf>
    <xf numFmtId="41" fontId="50" fillId="3" borderId="19" xfId="1" applyFont="1" applyFill="1" applyBorder="1" applyAlignment="1">
      <alignment horizontal="center" vertical="center" wrapText="1"/>
    </xf>
    <xf numFmtId="41" fontId="50" fillId="3" borderId="36" xfId="1" applyFont="1" applyFill="1" applyBorder="1" applyAlignment="1">
      <alignment horizontal="center" vertical="center" wrapText="1"/>
    </xf>
    <xf numFmtId="41" fontId="49" fillId="3" borderId="50" xfId="1" applyFont="1" applyFill="1" applyBorder="1" applyAlignment="1">
      <alignment horizontal="center" vertical="center"/>
    </xf>
    <xf numFmtId="41" fontId="49" fillId="3" borderId="70" xfId="1" applyFont="1" applyFill="1" applyBorder="1" applyAlignment="1">
      <alignment horizontal="center" vertical="center"/>
    </xf>
    <xf numFmtId="41" fontId="49" fillId="3" borderId="20" xfId="1" applyFont="1" applyFill="1" applyBorder="1" applyAlignment="1">
      <alignment horizontal="center" vertical="center"/>
    </xf>
    <xf numFmtId="41" fontId="49" fillId="3" borderId="36" xfId="1" applyFont="1" applyFill="1" applyBorder="1" applyAlignment="1">
      <alignment horizontal="left" vertical="center"/>
    </xf>
    <xf numFmtId="41" fontId="50" fillId="3" borderId="20" xfId="1" applyFont="1" applyFill="1" applyBorder="1" applyAlignment="1">
      <alignment horizontal="center" vertical="center"/>
    </xf>
    <xf numFmtId="41" fontId="49" fillId="3" borderId="26" xfId="1" applyFont="1" applyFill="1" applyBorder="1" applyAlignment="1">
      <alignment horizontal="center" vertical="center"/>
    </xf>
    <xf numFmtId="41" fontId="49" fillId="3" borderId="81" xfId="1" applyFont="1" applyFill="1" applyBorder="1" applyAlignment="1">
      <alignment horizontal="center" vertical="center"/>
    </xf>
    <xf numFmtId="41" fontId="50" fillId="3" borderId="36" xfId="1" applyFont="1" applyFill="1" applyBorder="1" applyAlignment="1">
      <alignment vertical="center"/>
    </xf>
    <xf numFmtId="41" fontId="49" fillId="3" borderId="0" xfId="1" applyFont="1" applyFill="1" applyBorder="1" applyAlignment="1">
      <alignment horizontal="center" vertical="center"/>
    </xf>
    <xf numFmtId="41" fontId="49" fillId="3" borderId="50" xfId="1" applyFont="1" applyFill="1" applyBorder="1" applyAlignment="1">
      <alignment vertical="center"/>
    </xf>
    <xf numFmtId="41" fontId="49" fillId="3" borderId="50" xfId="1" applyFont="1" applyFill="1" applyBorder="1" applyAlignment="1">
      <alignment horizontal="left" vertical="center"/>
    </xf>
    <xf numFmtId="41" fontId="50" fillId="3" borderId="81" xfId="1" applyFont="1" applyFill="1" applyBorder="1" applyAlignment="1">
      <alignment vertical="center"/>
    </xf>
    <xf numFmtId="41" fontId="49" fillId="3" borderId="19" xfId="1" applyFont="1" applyFill="1" applyBorder="1" applyAlignment="1">
      <alignment vertical="center"/>
    </xf>
    <xf numFmtId="41" fontId="49" fillId="3" borderId="70" xfId="1" applyFont="1" applyFill="1" applyBorder="1" applyAlignment="1">
      <alignment horizontal="left" vertical="center"/>
    </xf>
    <xf numFmtId="41" fontId="50" fillId="3" borderId="0" xfId="1" applyFont="1" applyFill="1" applyBorder="1" applyAlignment="1">
      <alignment horizontal="center"/>
    </xf>
    <xf numFmtId="41" fontId="50" fillId="3" borderId="0" xfId="1" applyFont="1" applyFill="1" applyBorder="1" applyAlignment="1"/>
    <xf numFmtId="41" fontId="48" fillId="3" borderId="1" xfId="1" applyFont="1" applyFill="1" applyBorder="1" applyAlignment="1">
      <alignment vertical="center"/>
    </xf>
    <xf numFmtId="41" fontId="48" fillId="3" borderId="20" xfId="1" applyFont="1" applyFill="1" applyBorder="1" applyAlignment="1">
      <alignment vertical="center"/>
    </xf>
    <xf numFmtId="41" fontId="48" fillId="3" borderId="21" xfId="1" applyFont="1" applyFill="1" applyBorder="1" applyAlignment="1">
      <alignment vertical="center"/>
    </xf>
    <xf numFmtId="41" fontId="48" fillId="3" borderId="6" xfId="1" applyFont="1" applyFill="1" applyBorder="1" applyAlignment="1">
      <alignment vertical="center"/>
    </xf>
    <xf numFmtId="41" fontId="48" fillId="3" borderId="24" xfId="1" applyFont="1" applyFill="1" applyBorder="1" applyAlignment="1">
      <alignment vertical="center"/>
    </xf>
    <xf numFmtId="41" fontId="48" fillId="3" borderId="26" xfId="1" applyFont="1" applyFill="1" applyBorder="1" applyAlignment="1">
      <alignment vertical="center"/>
    </xf>
    <xf numFmtId="41" fontId="48" fillId="3" borderId="16" xfId="1" applyFont="1" applyFill="1" applyBorder="1" applyAlignment="1">
      <alignment vertical="center"/>
    </xf>
    <xf numFmtId="41" fontId="48" fillId="3" borderId="30" xfId="1" applyFont="1" applyFill="1" applyBorder="1" applyAlignment="1">
      <alignment vertical="center"/>
    </xf>
    <xf numFmtId="41" fontId="50" fillId="3" borderId="16" xfId="1" applyFont="1" applyFill="1" applyBorder="1" applyAlignment="1">
      <alignment vertical="center"/>
    </xf>
    <xf numFmtId="41" fontId="50" fillId="3" borderId="93" xfId="1" applyFont="1" applyFill="1" applyBorder="1" applyAlignment="1">
      <alignment horizontal="center" vertical="center"/>
    </xf>
    <xf numFmtId="41" fontId="49" fillId="3" borderId="85" xfId="1" applyFont="1" applyFill="1" applyBorder="1" applyAlignment="1">
      <alignment horizontal="center" vertical="center"/>
    </xf>
    <xf numFmtId="41" fontId="49" fillId="3" borderId="86" xfId="1" applyFont="1" applyFill="1" applyBorder="1" applyAlignment="1">
      <alignment horizontal="center" vertical="center"/>
    </xf>
    <xf numFmtId="41" fontId="50" fillId="3" borderId="105" xfId="1" applyFont="1" applyFill="1" applyBorder="1" applyAlignment="1">
      <alignment horizontal="center" vertical="center"/>
    </xf>
    <xf numFmtId="41" fontId="50" fillId="3" borderId="67" xfId="1" applyFont="1" applyFill="1" applyBorder="1" applyAlignment="1">
      <alignment horizontal="center" vertical="center"/>
    </xf>
    <xf numFmtId="41" fontId="49" fillId="3" borderId="67" xfId="1" applyFont="1" applyFill="1" applyBorder="1" applyAlignment="1">
      <alignment horizontal="center" vertical="center"/>
    </xf>
    <xf numFmtId="41" fontId="49" fillId="3" borderId="68" xfId="1" applyFont="1" applyFill="1" applyBorder="1" applyAlignment="1">
      <alignment horizontal="center" vertical="center"/>
    </xf>
    <xf numFmtId="41" fontId="50" fillId="3" borderId="92" xfId="1" applyFont="1" applyFill="1" applyBorder="1" applyAlignment="1">
      <alignment horizontal="center" vertical="center"/>
    </xf>
    <xf numFmtId="41" fontId="49" fillId="3" borderId="20" xfId="1" applyFont="1" applyFill="1" applyBorder="1" applyAlignment="1"/>
    <xf numFmtId="41" fontId="49" fillId="3" borderId="21" xfId="1" applyFont="1" applyFill="1" applyBorder="1" applyAlignment="1"/>
    <xf numFmtId="41" fontId="50" fillId="3" borderId="70" xfId="1" applyFont="1" applyFill="1" applyBorder="1" applyAlignment="1"/>
    <xf numFmtId="41" fontId="50" fillId="3" borderId="81" xfId="1" applyFont="1" applyFill="1" applyBorder="1" applyAlignment="1"/>
    <xf numFmtId="41" fontId="50" fillId="3" borderId="6" xfId="1" applyFont="1" applyFill="1" applyBorder="1" applyAlignment="1">
      <alignment vertical="center"/>
    </xf>
    <xf numFmtId="41" fontId="49" fillId="3" borderId="17" xfId="1" applyFont="1" applyFill="1" applyBorder="1" applyAlignment="1">
      <alignment horizontal="left" vertical="center" wrapText="1"/>
    </xf>
    <xf numFmtId="12" fontId="49" fillId="3" borderId="111" xfId="1" quotePrefix="1" applyNumberFormat="1" applyFont="1" applyFill="1" applyBorder="1" applyAlignment="1">
      <alignment horizontal="center" vertical="center" wrapText="1"/>
    </xf>
    <xf numFmtId="12" fontId="49" fillId="3" borderId="131" xfId="1" quotePrefix="1" applyNumberFormat="1" applyFont="1" applyFill="1" applyBorder="1" applyAlignment="1">
      <alignment horizontal="center" vertical="center" wrapText="1"/>
    </xf>
    <xf numFmtId="41" fontId="49" fillId="3" borderId="191" xfId="1" applyFont="1" applyFill="1" applyBorder="1" applyAlignment="1">
      <alignment vertical="center" wrapText="1"/>
    </xf>
    <xf numFmtId="41" fontId="49" fillId="3" borderId="152" xfId="1" applyFont="1" applyFill="1" applyBorder="1" applyAlignment="1">
      <alignment vertical="center" wrapText="1"/>
    </xf>
    <xf numFmtId="41" fontId="49" fillId="3" borderId="175" xfId="1" applyFont="1" applyFill="1" applyBorder="1" applyAlignment="1">
      <alignment vertical="center" wrapText="1"/>
    </xf>
    <xf numFmtId="12" fontId="49" fillId="3" borderId="176" xfId="1" quotePrefix="1" applyNumberFormat="1" applyFont="1" applyFill="1" applyBorder="1" applyAlignment="1">
      <alignment horizontal="center" vertical="center" wrapText="1"/>
    </xf>
    <xf numFmtId="41" fontId="49" fillId="3" borderId="188" xfId="1" applyFont="1" applyFill="1" applyBorder="1" applyAlignment="1">
      <alignment vertical="center" wrapText="1"/>
    </xf>
    <xf numFmtId="12" fontId="49" fillId="3" borderId="135" xfId="1" quotePrefix="1" applyNumberFormat="1" applyFont="1" applyFill="1" applyBorder="1" applyAlignment="1">
      <alignment horizontal="center" vertical="center" wrapText="1"/>
    </xf>
    <xf numFmtId="41" fontId="49" fillId="3" borderId="146" xfId="1" applyFont="1" applyFill="1" applyBorder="1" applyAlignment="1">
      <alignment vertical="center" wrapText="1"/>
    </xf>
    <xf numFmtId="12" fontId="49" fillId="3" borderId="155" xfId="1" quotePrefix="1" applyNumberFormat="1" applyFont="1" applyFill="1" applyBorder="1" applyAlignment="1">
      <alignment horizontal="center" vertical="center" wrapText="1"/>
    </xf>
    <xf numFmtId="41" fontId="50" fillId="3" borderId="25" xfId="1" applyFont="1" applyFill="1" applyBorder="1" applyAlignment="1">
      <alignment horizontal="left" vertical="center" wrapText="1"/>
    </xf>
    <xf numFmtId="41" fontId="49" fillId="3" borderId="31" xfId="1" applyFont="1" applyFill="1" applyBorder="1" applyAlignment="1">
      <alignment horizontal="left" vertical="center" wrapText="1"/>
    </xf>
    <xf numFmtId="41" fontId="49" fillId="3" borderId="26" xfId="1" applyFont="1" applyFill="1" applyBorder="1" applyAlignment="1">
      <alignment horizontal="left" vertical="center" wrapText="1"/>
    </xf>
    <xf numFmtId="41" fontId="49" fillId="3" borderId="31" xfId="1" applyFont="1" applyFill="1" applyBorder="1" applyAlignment="1">
      <alignment vertical="center" wrapText="1"/>
    </xf>
    <xf numFmtId="41" fontId="49" fillId="3" borderId="31" xfId="1" applyFont="1" applyFill="1" applyBorder="1" applyAlignment="1">
      <alignment vertical="center"/>
    </xf>
    <xf numFmtId="176" fontId="49" fillId="3" borderId="136" xfId="0" applyNumberFormat="1" applyFont="1" applyFill="1" applyBorder="1" applyAlignment="1">
      <alignment vertical="center"/>
    </xf>
    <xf numFmtId="176" fontId="49" fillId="3" borderId="131" xfId="0" applyNumberFormat="1" applyFont="1" applyFill="1" applyBorder="1" applyAlignment="1">
      <alignment vertical="center"/>
    </xf>
    <xf numFmtId="176" fontId="49" fillId="3" borderId="131" xfId="0" applyNumberFormat="1" applyFont="1" applyFill="1" applyBorder="1" applyAlignment="1">
      <alignment horizontal="center" vertical="center"/>
    </xf>
    <xf numFmtId="176" fontId="49" fillId="3" borderId="134" xfId="0" applyNumberFormat="1" applyFont="1" applyFill="1" applyBorder="1" applyAlignment="1">
      <alignment vertical="center"/>
    </xf>
    <xf numFmtId="176" fontId="50" fillId="3" borderId="153" xfId="0" applyNumberFormat="1" applyFont="1" applyFill="1" applyBorder="1" applyAlignment="1">
      <alignment horizontal="left" vertical="center" wrapText="1"/>
    </xf>
    <xf numFmtId="41" fontId="50" fillId="3" borderId="113" xfId="1" applyFont="1" applyFill="1" applyBorder="1" applyAlignment="1">
      <alignment vertical="center"/>
    </xf>
    <xf numFmtId="176" fontId="49" fillId="3" borderId="136" xfId="0" applyNumberFormat="1" applyFont="1" applyFill="1" applyBorder="1" applyAlignment="1">
      <alignment horizontal="left" vertical="center" wrapText="1"/>
    </xf>
    <xf numFmtId="41" fontId="50" fillId="3" borderId="134" xfId="1" applyFont="1" applyFill="1" applyBorder="1" applyAlignment="1">
      <alignment vertical="center"/>
    </xf>
    <xf numFmtId="176" fontId="49" fillId="3" borderId="152" xfId="0" applyNumberFormat="1" applyFont="1" applyFill="1" applyBorder="1" applyAlignment="1">
      <alignment vertical="center"/>
    </xf>
    <xf numFmtId="176" fontId="49" fillId="3" borderId="182" xfId="0" applyNumberFormat="1" applyFont="1" applyFill="1" applyBorder="1" applyAlignment="1">
      <alignment horizontal="left" vertical="center"/>
    </xf>
    <xf numFmtId="176" fontId="49" fillId="3" borderId="50" xfId="0" applyNumberFormat="1" applyFont="1" applyFill="1" applyBorder="1" applyAlignment="1">
      <alignment horizontal="left" vertical="center"/>
    </xf>
    <xf numFmtId="41" fontId="50" fillId="3" borderId="37" xfId="1" applyFont="1" applyFill="1" applyBorder="1" applyAlignment="1">
      <alignment vertical="center"/>
    </xf>
    <xf numFmtId="41" fontId="36" fillId="3" borderId="131" xfId="1" applyFont="1" applyFill="1" applyBorder="1" applyAlignment="1"/>
    <xf numFmtId="41" fontId="36" fillId="3" borderId="131" xfId="1" applyFont="1" applyFill="1" applyBorder="1" applyAlignment="1">
      <alignment horizontal="center" wrapText="1"/>
    </xf>
    <xf numFmtId="41" fontId="36" fillId="3" borderId="176" xfId="1" applyFont="1" applyFill="1" applyBorder="1" applyAlignment="1"/>
    <xf numFmtId="41" fontId="36" fillId="3" borderId="176" xfId="1" applyFont="1" applyFill="1" applyBorder="1" applyAlignment="1">
      <alignment horizontal="center" wrapText="1"/>
    </xf>
    <xf numFmtId="41" fontId="36" fillId="3" borderId="135" xfId="1" applyFont="1" applyFill="1" applyBorder="1" applyAlignment="1"/>
    <xf numFmtId="41" fontId="36" fillId="3" borderId="135" xfId="1" applyFont="1" applyFill="1" applyBorder="1" applyAlignment="1">
      <alignment horizontal="center"/>
    </xf>
    <xf numFmtId="41" fontId="36" fillId="3" borderId="155" xfId="1" applyFont="1" applyFill="1" applyBorder="1" applyAlignment="1"/>
    <xf numFmtId="41" fontId="36" fillId="3" borderId="155" xfId="1" applyFont="1" applyFill="1" applyBorder="1" applyAlignment="1">
      <alignment horizontal="center"/>
    </xf>
    <xf numFmtId="41" fontId="49" fillId="3" borderId="183" xfId="1" applyFont="1" applyFill="1" applyBorder="1" applyAlignment="1">
      <alignment horizontal="left" vertical="center" wrapText="1"/>
    </xf>
    <xf numFmtId="41" fontId="49" fillId="3" borderId="146" xfId="1" applyFont="1" applyFill="1" applyBorder="1" applyAlignment="1">
      <alignment horizontal="center" vertical="center" wrapText="1"/>
    </xf>
    <xf numFmtId="41" fontId="49" fillId="3" borderId="92" xfId="1" applyFont="1" applyFill="1" applyBorder="1" applyAlignment="1">
      <alignment vertical="center"/>
    </xf>
    <xf numFmtId="178" fontId="49" fillId="3" borderId="185" xfId="1" applyNumberFormat="1" applyFont="1" applyFill="1" applyBorder="1" applyAlignment="1">
      <alignment horizontal="center" vertical="center" wrapText="1"/>
    </xf>
    <xf numFmtId="41" fontId="49" fillId="3" borderId="177" xfId="1" quotePrefix="1" applyFont="1" applyFill="1" applyBorder="1" applyAlignment="1">
      <alignment vertical="center" wrapText="1"/>
    </xf>
    <xf numFmtId="41" fontId="49" fillId="3" borderId="196" xfId="1" applyFont="1" applyFill="1" applyBorder="1" applyAlignment="1">
      <alignment vertical="center" wrapText="1"/>
    </xf>
    <xf numFmtId="10" fontId="51" fillId="3" borderId="177" xfId="1" applyNumberFormat="1" applyFont="1" applyFill="1" applyBorder="1" applyAlignment="1">
      <alignment horizontal="center" vertical="center" wrapText="1"/>
    </xf>
    <xf numFmtId="41" fontId="49" fillId="3" borderId="112" xfId="1" applyFont="1" applyFill="1" applyBorder="1" applyAlignment="1">
      <alignment horizontal="center" vertical="center" wrapText="1"/>
    </xf>
    <xf numFmtId="41" fontId="49" fillId="3" borderId="132" xfId="1" applyFont="1" applyFill="1" applyBorder="1" applyAlignment="1">
      <alignment horizontal="center" vertical="center" wrapText="1"/>
    </xf>
    <xf numFmtId="41" fontId="49" fillId="3" borderId="194" xfId="1" applyFont="1" applyFill="1" applyBorder="1" applyAlignment="1">
      <alignment horizontal="center" vertical="center" wrapText="1"/>
    </xf>
    <xf numFmtId="41" fontId="49" fillId="3" borderId="159" xfId="1" applyFont="1" applyFill="1" applyBorder="1" applyAlignment="1">
      <alignment horizontal="center" vertical="center" wrapText="1"/>
    </xf>
    <xf numFmtId="41" fontId="49" fillId="3" borderId="203" xfId="1" applyFont="1" applyFill="1" applyBorder="1" applyAlignment="1">
      <alignment horizontal="center" vertical="center" wrapText="1"/>
    </xf>
    <xf numFmtId="12" fontId="49" fillId="3" borderId="166" xfId="1" quotePrefix="1" applyNumberFormat="1" applyFont="1" applyFill="1" applyBorder="1" applyAlignment="1">
      <alignment horizontal="center" vertical="center" wrapText="1"/>
    </xf>
    <xf numFmtId="41" fontId="50" fillId="3" borderId="153" xfId="1" applyFont="1" applyFill="1" applyBorder="1" applyAlignment="1">
      <alignment horizontal="left" vertical="center" wrapText="1"/>
    </xf>
    <xf numFmtId="176" fontId="49" fillId="3" borderId="175" xfId="0" applyNumberFormat="1" applyFont="1" applyFill="1" applyBorder="1" applyAlignment="1">
      <alignment vertical="center"/>
    </xf>
    <xf numFmtId="176" fontId="50" fillId="3" borderId="160" xfId="0" applyNumberFormat="1" applyFont="1" applyFill="1" applyBorder="1" applyAlignment="1">
      <alignment vertical="center"/>
    </xf>
    <xf numFmtId="41" fontId="49" fillId="3" borderId="177" xfId="1" applyFont="1" applyFill="1" applyBorder="1" applyAlignment="1">
      <alignment vertical="center"/>
    </xf>
    <xf numFmtId="41" fontId="36" fillId="3" borderId="135" xfId="1" applyFont="1" applyFill="1" applyBorder="1" applyAlignment="1">
      <alignment horizontal="center" wrapText="1"/>
    </xf>
    <xf numFmtId="41" fontId="50" fillId="3" borderId="112" xfId="1" applyFont="1" applyFill="1" applyBorder="1" applyAlignment="1">
      <alignment vertical="center"/>
    </xf>
    <xf numFmtId="41" fontId="50" fillId="3" borderId="132" xfId="1" applyFont="1" applyFill="1" applyBorder="1" applyAlignment="1">
      <alignment vertical="center"/>
    </xf>
    <xf numFmtId="41" fontId="49" fillId="3" borderId="132" xfId="1" applyFont="1" applyFill="1" applyBorder="1" applyAlignment="1">
      <alignment vertical="center"/>
    </xf>
    <xf numFmtId="41" fontId="49" fillId="3" borderId="203" xfId="1" applyFont="1" applyFill="1" applyBorder="1" applyAlignment="1">
      <alignment horizontal="center" vertical="center"/>
    </xf>
    <xf numFmtId="41" fontId="49" fillId="3" borderId="191" xfId="1" applyFont="1" applyFill="1" applyBorder="1" applyAlignment="1">
      <alignment horizontal="center" vertical="center"/>
    </xf>
    <xf numFmtId="41" fontId="49" fillId="3" borderId="20" xfId="1" applyFont="1" applyFill="1" applyBorder="1" applyAlignment="1">
      <alignment horizontal="left" vertical="center"/>
    </xf>
    <xf numFmtId="12" fontId="49" fillId="3" borderId="137" xfId="1" quotePrefix="1" applyNumberFormat="1" applyFont="1" applyFill="1" applyBorder="1" applyAlignment="1">
      <alignment horizontal="center" vertical="center" wrapText="1"/>
    </xf>
    <xf numFmtId="176" fontId="49" fillId="3" borderId="66" xfId="0" applyNumberFormat="1" applyFont="1" applyFill="1" applyBorder="1" applyAlignment="1">
      <alignment vertical="center"/>
    </xf>
    <xf numFmtId="41" fontId="49" fillId="3" borderId="35" xfId="1" applyFont="1" applyFill="1" applyBorder="1" applyAlignment="1">
      <alignment vertical="center" wrapText="1"/>
    </xf>
    <xf numFmtId="41" fontId="49" fillId="3" borderId="92" xfId="1" applyFont="1" applyFill="1" applyBorder="1" applyAlignment="1">
      <alignment vertical="center" wrapText="1"/>
    </xf>
    <xf numFmtId="41" fontId="9" fillId="0" borderId="9" xfId="1" applyFont="1" applyFill="1" applyBorder="1" applyAlignment="1">
      <alignment horizontal="center" vertical="center" shrinkToFit="1"/>
    </xf>
    <xf numFmtId="41" fontId="36" fillId="3" borderId="115" xfId="1" applyFont="1" applyFill="1" applyBorder="1" applyAlignment="1"/>
    <xf numFmtId="41" fontId="50" fillId="3" borderId="116" xfId="1" applyFont="1" applyFill="1" applyBorder="1" applyAlignment="1">
      <alignment vertical="center"/>
    </xf>
    <xf numFmtId="41" fontId="42" fillId="0" borderId="131" xfId="1" applyFont="1" applyFill="1" applyBorder="1" applyAlignment="1">
      <alignment horizontal="left" vertical="center" indent="1" shrinkToFit="1"/>
    </xf>
    <xf numFmtId="3" fontId="42" fillId="0" borderId="115" xfId="2" applyNumberFormat="1" applyFont="1" applyBorder="1" applyAlignment="1">
      <alignment horizontal="left" vertical="center" indent="1" shrinkToFit="1"/>
    </xf>
    <xf numFmtId="41" fontId="42" fillId="0" borderId="115" xfId="1" applyFont="1" applyFill="1" applyBorder="1" applyAlignment="1">
      <alignment horizontal="left" vertical="center" indent="1" shrinkToFit="1"/>
    </xf>
    <xf numFmtId="0" fontId="14" fillId="3" borderId="25" xfId="2" applyFill="1" applyBorder="1">
      <alignment vertical="center"/>
    </xf>
    <xf numFmtId="0" fontId="34" fillId="3" borderId="17" xfId="2" applyFont="1" applyFill="1" applyBorder="1">
      <alignment vertical="center"/>
    </xf>
    <xf numFmtId="41" fontId="21" fillId="3" borderId="31" xfId="1" applyFont="1" applyFill="1" applyBorder="1" applyAlignment="1">
      <alignment horizontal="right" vertical="center"/>
    </xf>
    <xf numFmtId="41" fontId="50" fillId="3" borderId="170" xfId="1" applyFont="1" applyFill="1" applyBorder="1" applyAlignment="1">
      <alignment vertical="center"/>
    </xf>
    <xf numFmtId="41" fontId="50" fillId="3" borderId="178" xfId="1" applyFont="1" applyFill="1" applyBorder="1" applyAlignment="1">
      <alignment vertical="center"/>
    </xf>
    <xf numFmtId="41" fontId="49" fillId="3" borderId="180" xfId="1" applyFont="1" applyFill="1" applyBorder="1" applyAlignment="1">
      <alignment horizontal="center" vertical="center" wrapText="1"/>
    </xf>
    <xf numFmtId="41" fontId="48" fillId="3" borderId="21" xfId="1" applyFont="1" applyFill="1" applyBorder="1" applyAlignment="1">
      <alignment horizontal="center" vertical="center"/>
    </xf>
    <xf numFmtId="41" fontId="48" fillId="3" borderId="1" xfId="1" applyFont="1" applyFill="1" applyBorder="1" applyAlignment="1">
      <alignment horizontal="center" vertical="center"/>
    </xf>
    <xf numFmtId="176" fontId="49" fillId="3" borderId="92" xfId="0" applyNumberFormat="1" applyFont="1" applyFill="1" applyBorder="1" applyAlignment="1">
      <alignment vertical="center"/>
    </xf>
    <xf numFmtId="41" fontId="49" fillId="3" borderId="171" xfId="1" applyFont="1" applyFill="1" applyBorder="1" applyAlignment="1">
      <alignment horizontal="center" vertical="center" wrapText="1"/>
    </xf>
    <xf numFmtId="41" fontId="49" fillId="3" borderId="36" xfId="1" applyFont="1" applyFill="1" applyBorder="1" applyAlignment="1">
      <alignment vertical="center" wrapText="1"/>
    </xf>
    <xf numFmtId="41" fontId="50" fillId="3" borderId="152" xfId="1" applyFont="1" applyFill="1" applyBorder="1" applyAlignment="1">
      <alignment vertical="center" wrapText="1"/>
    </xf>
    <xf numFmtId="176" fontId="49" fillId="3" borderId="135" xfId="0" applyNumberFormat="1" applyFont="1" applyFill="1" applyBorder="1" applyAlignment="1">
      <alignment vertical="center"/>
    </xf>
    <xf numFmtId="176" fontId="49" fillId="3" borderId="135" xfId="0" applyNumberFormat="1" applyFont="1" applyFill="1" applyBorder="1" applyAlignment="1">
      <alignment horizontal="center" vertical="center"/>
    </xf>
    <xf numFmtId="176" fontId="49" fillId="3" borderId="161" xfId="0" applyNumberFormat="1" applyFont="1" applyFill="1" applyBorder="1" applyAlignment="1">
      <alignment vertical="center"/>
    </xf>
    <xf numFmtId="176" fontId="49" fillId="3" borderId="200" xfId="0" applyNumberFormat="1" applyFont="1" applyFill="1" applyBorder="1" applyAlignment="1">
      <alignment vertical="center"/>
    </xf>
    <xf numFmtId="176" fontId="49" fillId="3" borderId="201" xfId="0" applyNumberFormat="1" applyFont="1" applyFill="1" applyBorder="1" applyAlignment="1">
      <alignment vertical="center"/>
    </xf>
    <xf numFmtId="176" fontId="49" fillId="3" borderId="201" xfId="0" applyNumberFormat="1" applyFont="1" applyFill="1" applyBorder="1" applyAlignment="1">
      <alignment horizontal="center" vertical="center"/>
    </xf>
    <xf numFmtId="176" fontId="49" fillId="3" borderId="201" xfId="0" applyNumberFormat="1" applyFont="1" applyFill="1" applyBorder="1" applyAlignment="1">
      <alignment horizontal="center" vertical="center" wrapText="1"/>
    </xf>
    <xf numFmtId="176" fontId="50" fillId="3" borderId="202" xfId="0" applyNumberFormat="1" applyFont="1" applyFill="1" applyBorder="1" applyAlignment="1">
      <alignment vertical="center"/>
    </xf>
    <xf numFmtId="176" fontId="49" fillId="3" borderId="176" xfId="0" applyNumberFormat="1" applyFont="1" applyFill="1" applyBorder="1" applyAlignment="1">
      <alignment vertical="center"/>
    </xf>
    <xf numFmtId="176" fontId="49" fillId="3" borderId="176" xfId="0" applyNumberFormat="1" applyFont="1" applyFill="1" applyBorder="1" applyAlignment="1">
      <alignment horizontal="center" vertical="center"/>
    </xf>
    <xf numFmtId="176" fontId="49" fillId="3" borderId="178" xfId="0" applyNumberFormat="1" applyFont="1" applyFill="1" applyBorder="1" applyAlignment="1">
      <alignment vertical="center"/>
    </xf>
    <xf numFmtId="176" fontId="49" fillId="3" borderId="164" xfId="0" applyNumberFormat="1" applyFont="1" applyFill="1" applyBorder="1" applyAlignment="1">
      <alignment vertical="center"/>
    </xf>
    <xf numFmtId="176" fontId="49" fillId="3" borderId="137" xfId="0" applyNumberFormat="1" applyFont="1" applyFill="1" applyBorder="1" applyAlignment="1">
      <alignment vertical="center"/>
    </xf>
    <xf numFmtId="176" fontId="49" fillId="3" borderId="137" xfId="0" applyNumberFormat="1" applyFont="1" applyFill="1" applyBorder="1" applyAlignment="1">
      <alignment horizontal="center" vertical="center"/>
    </xf>
    <xf numFmtId="176" fontId="49" fillId="3" borderId="170" xfId="0" applyNumberFormat="1" applyFont="1" applyFill="1" applyBorder="1" applyAlignment="1">
      <alignment vertical="center"/>
    </xf>
    <xf numFmtId="41" fontId="50" fillId="3" borderId="135" xfId="1" applyFont="1" applyFill="1" applyBorder="1" applyAlignment="1">
      <alignment horizontal="center" vertical="center" wrapText="1"/>
    </xf>
    <xf numFmtId="41" fontId="49" fillId="3" borderId="21" xfId="1" applyFont="1" applyFill="1" applyBorder="1" applyAlignment="1">
      <alignment horizontal="center"/>
    </xf>
    <xf numFmtId="41" fontId="49" fillId="3" borderId="149" xfId="1" applyFont="1" applyFill="1" applyBorder="1" applyAlignment="1">
      <alignment horizontal="center" vertical="center" wrapText="1"/>
    </xf>
    <xf numFmtId="41" fontId="49" fillId="3" borderId="94" xfId="1" applyFont="1" applyFill="1" applyBorder="1" applyAlignment="1">
      <alignment horizontal="center" vertical="center" wrapText="1"/>
    </xf>
    <xf numFmtId="41" fontId="49" fillId="3" borderId="1" xfId="1" applyFont="1" applyFill="1" applyBorder="1" applyAlignment="1">
      <alignment horizontal="center" vertical="center" wrapText="1"/>
    </xf>
    <xf numFmtId="41" fontId="50" fillId="3" borderId="111" xfId="1" applyFont="1" applyFill="1" applyBorder="1" applyAlignment="1">
      <alignment horizontal="center" vertical="center" wrapText="1"/>
    </xf>
    <xf numFmtId="41" fontId="50" fillId="3" borderId="166" xfId="1" applyFont="1" applyFill="1" applyBorder="1" applyAlignment="1">
      <alignment horizontal="center" vertical="center" wrapText="1"/>
    </xf>
    <xf numFmtId="41" fontId="48" fillId="3" borderId="135" xfId="1" applyFont="1" applyFill="1" applyBorder="1" applyAlignment="1">
      <alignment horizontal="center"/>
    </xf>
    <xf numFmtId="41" fontId="50" fillId="3" borderId="185" xfId="1" applyFont="1" applyFill="1" applyBorder="1" applyAlignment="1">
      <alignment horizontal="center" vertical="center"/>
    </xf>
    <xf numFmtId="41" fontId="36" fillId="3" borderId="131" xfId="1" applyFont="1" applyFill="1" applyBorder="1" applyAlignment="1">
      <alignment horizontal="center"/>
    </xf>
    <xf numFmtId="41" fontId="36" fillId="3" borderId="115" xfId="1" applyFont="1" applyFill="1" applyBorder="1" applyAlignment="1">
      <alignment horizontal="center"/>
    </xf>
    <xf numFmtId="41" fontId="36" fillId="3" borderId="176" xfId="1" applyFont="1" applyFill="1" applyBorder="1" applyAlignment="1">
      <alignment horizontal="center"/>
    </xf>
    <xf numFmtId="41" fontId="0" fillId="3" borderId="0" xfId="1" applyFont="1" applyFill="1" applyAlignment="1">
      <alignment horizontal="center"/>
    </xf>
    <xf numFmtId="41" fontId="0" fillId="12" borderId="0" xfId="1" applyFont="1" applyFill="1" applyAlignment="1">
      <alignment horizontal="center"/>
    </xf>
    <xf numFmtId="41" fontId="50" fillId="3" borderId="110" xfId="1" applyFont="1" applyFill="1" applyBorder="1" applyAlignment="1">
      <alignment horizontal="left" vertical="center"/>
    </xf>
    <xf numFmtId="176" fontId="49" fillId="3" borderId="130" xfId="0" applyNumberFormat="1" applyFont="1" applyFill="1" applyBorder="1" applyAlignment="1">
      <alignment vertical="center"/>
    </xf>
    <xf numFmtId="176" fontId="50" fillId="3" borderId="158" xfId="0" applyNumberFormat="1" applyFont="1" applyFill="1" applyBorder="1" applyAlignment="1">
      <alignment vertical="center"/>
    </xf>
    <xf numFmtId="176" fontId="49" fillId="3" borderId="211" xfId="0" applyNumberFormat="1" applyFont="1" applyFill="1" applyBorder="1" applyAlignment="1">
      <alignment vertical="center"/>
    </xf>
    <xf numFmtId="176" fontId="50" fillId="3" borderId="214" xfId="0" applyNumberFormat="1" applyFont="1" applyFill="1" applyBorder="1" applyAlignment="1">
      <alignment vertical="center"/>
    </xf>
    <xf numFmtId="176" fontId="49" fillId="3" borderId="213" xfId="0" applyNumberFormat="1" applyFont="1" applyFill="1" applyBorder="1" applyAlignment="1">
      <alignment vertical="center"/>
    </xf>
    <xf numFmtId="176" fontId="49" fillId="3" borderId="206" xfId="0" applyNumberFormat="1" applyFont="1" applyFill="1" applyBorder="1" applyAlignment="1">
      <alignment vertical="center"/>
    </xf>
    <xf numFmtId="176" fontId="49" fillId="3" borderId="158" xfId="0" applyNumberFormat="1" applyFont="1" applyFill="1" applyBorder="1" applyAlignment="1">
      <alignment vertical="center"/>
    </xf>
    <xf numFmtId="176" fontId="49" fillId="3" borderId="217" xfId="0" applyNumberFormat="1" applyFont="1" applyFill="1" applyBorder="1" applyAlignment="1">
      <alignment vertical="center"/>
    </xf>
    <xf numFmtId="176" fontId="49" fillId="3" borderId="184" xfId="0" applyNumberFormat="1" applyFont="1" applyFill="1" applyBorder="1" applyAlignment="1">
      <alignment vertical="center"/>
    </xf>
    <xf numFmtId="176" fontId="49" fillId="3" borderId="185" xfId="0" applyNumberFormat="1" applyFont="1" applyFill="1" applyBorder="1" applyAlignment="1">
      <alignment vertical="center"/>
    </xf>
    <xf numFmtId="176" fontId="49" fillId="3" borderId="185" xfId="0" applyNumberFormat="1" applyFont="1" applyFill="1" applyBorder="1" applyAlignment="1">
      <alignment horizontal="center" vertical="center"/>
    </xf>
    <xf numFmtId="41" fontId="49" fillId="3" borderId="36" xfId="1" applyFont="1" applyFill="1" applyBorder="1" applyAlignment="1">
      <alignment horizontal="center"/>
    </xf>
    <xf numFmtId="41" fontId="49" fillId="3" borderId="81" xfId="1" applyFont="1" applyFill="1" applyBorder="1" applyAlignment="1">
      <alignment horizontal="center"/>
    </xf>
    <xf numFmtId="176" fontId="49" fillId="3" borderId="185" xfId="0" applyNumberFormat="1" applyFont="1" applyFill="1" applyBorder="1" applyAlignment="1">
      <alignment horizontal="center" vertical="center" wrapText="1"/>
    </xf>
    <xf numFmtId="176" fontId="50" fillId="3" borderId="186" xfId="0" applyNumberFormat="1" applyFont="1" applyFill="1" applyBorder="1" applyAlignment="1">
      <alignment vertical="center"/>
    </xf>
    <xf numFmtId="41" fontId="49" fillId="3" borderId="171" xfId="1" applyFont="1" applyFill="1" applyBorder="1" applyAlignment="1">
      <alignment vertical="center" wrapText="1"/>
    </xf>
    <xf numFmtId="41" fontId="33" fillId="8" borderId="11" xfId="1" applyFont="1" applyFill="1" applyBorder="1" applyAlignment="1">
      <alignment vertical="center" shrinkToFit="1"/>
    </xf>
    <xf numFmtId="41" fontId="33" fillId="3" borderId="208" xfId="1" applyFont="1" applyFill="1" applyBorder="1" applyAlignment="1">
      <alignment vertical="center" shrinkToFit="1"/>
    </xf>
    <xf numFmtId="41" fontId="33" fillId="4" borderId="9" xfId="1" applyFont="1" applyFill="1" applyBorder="1" applyAlignment="1">
      <alignment vertical="center" shrinkToFit="1"/>
    </xf>
    <xf numFmtId="41" fontId="33" fillId="8" borderId="37" xfId="1" applyFont="1" applyFill="1" applyBorder="1" applyAlignment="1">
      <alignment vertical="center" shrinkToFit="1"/>
    </xf>
    <xf numFmtId="41" fontId="33" fillId="3" borderId="210" xfId="1" applyFont="1" applyFill="1" applyBorder="1" applyAlignment="1">
      <alignment vertical="center" shrinkToFit="1"/>
    </xf>
    <xf numFmtId="41" fontId="33" fillId="8" borderId="9" xfId="1" applyFont="1" applyFill="1" applyBorder="1" applyAlignment="1">
      <alignment vertical="center" shrinkToFit="1"/>
    </xf>
    <xf numFmtId="41" fontId="33" fillId="8" borderId="12" xfId="1" applyFont="1" applyFill="1" applyBorder="1" applyAlignment="1">
      <alignment vertical="center" shrinkToFit="1"/>
    </xf>
    <xf numFmtId="41" fontId="42" fillId="4" borderId="145" xfId="1" applyFont="1" applyFill="1" applyBorder="1" applyAlignment="1">
      <alignment vertical="center" shrinkToFit="1"/>
    </xf>
    <xf numFmtId="41" fontId="42" fillId="5" borderId="132" xfId="1" applyFont="1" applyFill="1" applyBorder="1" applyAlignment="1">
      <alignment vertical="center" shrinkToFit="1"/>
    </xf>
    <xf numFmtId="41" fontId="42" fillId="6" borderId="132" xfId="1" applyFont="1" applyFill="1" applyBorder="1" applyAlignment="1">
      <alignment vertical="center" shrinkToFit="1"/>
    </xf>
    <xf numFmtId="41" fontId="42" fillId="7" borderId="132" xfId="1" applyFont="1" applyFill="1" applyBorder="1" applyAlignment="1">
      <alignment vertical="center" shrinkToFit="1"/>
    </xf>
    <xf numFmtId="41" fontId="42" fillId="6" borderId="131" xfId="1" applyFont="1" applyFill="1" applyBorder="1" applyAlignment="1">
      <alignment vertical="center" shrinkToFit="1"/>
    </xf>
    <xf numFmtId="41" fontId="42" fillId="6" borderId="45" xfId="1" applyFont="1" applyFill="1" applyBorder="1" applyAlignment="1">
      <alignment vertical="center" shrinkToFit="1"/>
    </xf>
    <xf numFmtId="41" fontId="42" fillId="5" borderId="134" xfId="1" applyFont="1" applyFill="1" applyBorder="1" applyAlignment="1">
      <alignment vertical="center" shrinkToFit="1"/>
    </xf>
    <xf numFmtId="41" fontId="42" fillId="6" borderId="134" xfId="1" applyFont="1" applyFill="1" applyBorder="1" applyAlignment="1">
      <alignment vertical="center" shrinkToFit="1"/>
    </xf>
    <xf numFmtId="41" fontId="42" fillId="7" borderId="134" xfId="1" applyFont="1" applyFill="1" applyBorder="1" applyAlignment="1">
      <alignment vertical="center" shrinkToFit="1"/>
    </xf>
    <xf numFmtId="41" fontId="42" fillId="0" borderId="134" xfId="1" applyFont="1" applyFill="1" applyBorder="1" applyAlignment="1">
      <alignment vertical="center" shrinkToFit="1"/>
    </xf>
    <xf numFmtId="41" fontId="42" fillId="0" borderId="144" xfId="1" applyFont="1" applyFill="1" applyBorder="1" applyAlignment="1">
      <alignment vertical="center" shrinkToFit="1"/>
    </xf>
    <xf numFmtId="41" fontId="42" fillId="0" borderId="141" xfId="1" applyFont="1" applyFill="1" applyBorder="1" applyAlignment="1">
      <alignment vertical="center" shrinkToFit="1"/>
    </xf>
    <xf numFmtId="41" fontId="49" fillId="3" borderId="1" xfId="1" applyFont="1" applyFill="1" applyBorder="1" applyAlignment="1">
      <alignment horizontal="center" vertical="center"/>
    </xf>
    <xf numFmtId="41" fontId="49" fillId="3" borderId="35" xfId="1" applyFont="1" applyFill="1" applyBorder="1" applyAlignment="1">
      <alignment horizontal="center" vertical="center"/>
    </xf>
    <xf numFmtId="41" fontId="9" fillId="0" borderId="106" xfId="1" applyFont="1" applyBorder="1" applyAlignment="1">
      <alignment horizontal="center" vertical="center" shrinkToFit="1"/>
    </xf>
    <xf numFmtId="41" fontId="49" fillId="3" borderId="8" xfId="1" applyFont="1" applyFill="1" applyBorder="1" applyAlignment="1">
      <alignment vertical="center"/>
    </xf>
    <xf numFmtId="41" fontId="49" fillId="12" borderId="184" xfId="1" applyFont="1" applyFill="1" applyBorder="1" applyAlignment="1">
      <alignment horizontal="left" vertical="center" wrapText="1"/>
    </xf>
    <xf numFmtId="41" fontId="49" fillId="12" borderId="185" xfId="1" applyFont="1" applyFill="1" applyBorder="1" applyAlignment="1">
      <alignment horizontal="center" vertical="center" wrapText="1"/>
    </xf>
    <xf numFmtId="41" fontId="49" fillId="12" borderId="176" xfId="1" applyFont="1" applyFill="1" applyBorder="1" applyAlignment="1">
      <alignment vertical="center" wrapText="1"/>
    </xf>
    <xf numFmtId="41" fontId="49" fillId="12" borderId="137" xfId="1" applyFont="1" applyFill="1" applyBorder="1" applyAlignment="1">
      <alignment horizontal="center" vertical="center" wrapText="1"/>
    </xf>
    <xf numFmtId="41" fontId="49" fillId="12" borderId="173" xfId="1" applyFont="1" applyFill="1" applyBorder="1" applyAlignment="1">
      <alignment horizontal="center" vertical="center" wrapText="1"/>
    </xf>
    <xf numFmtId="41" fontId="49" fillId="12" borderId="195" xfId="1" applyFont="1" applyFill="1" applyBorder="1" applyAlignment="1">
      <alignment horizontal="center" vertical="center"/>
    </xf>
    <xf numFmtId="41" fontId="49" fillId="12" borderId="36" xfId="1" applyFont="1" applyFill="1" applyBorder="1" applyAlignment="1">
      <alignment vertical="center"/>
    </xf>
    <xf numFmtId="41" fontId="49" fillId="12" borderId="185" xfId="1" applyFont="1" applyFill="1" applyBorder="1" applyAlignment="1">
      <alignment horizontal="center" vertical="center"/>
    </xf>
    <xf numFmtId="41" fontId="49" fillId="12" borderId="185" xfId="1" applyFont="1" applyFill="1" applyBorder="1" applyAlignment="1">
      <alignment vertical="center" wrapText="1"/>
    </xf>
    <xf numFmtId="41" fontId="49" fillId="12" borderId="186" xfId="1" applyFont="1" applyFill="1" applyBorder="1" applyAlignment="1">
      <alignment horizontal="center" vertical="center"/>
    </xf>
    <xf numFmtId="176" fontId="49" fillId="12" borderId="171" xfId="0" applyNumberFormat="1" applyFont="1" applyFill="1" applyBorder="1" applyAlignment="1">
      <alignment vertical="center"/>
    </xf>
    <xf numFmtId="0" fontId="49" fillId="12" borderId="197" xfId="3" applyNumberFormat="1" applyFont="1" applyFill="1" applyBorder="1" applyAlignment="1">
      <alignment horizontal="center" vertical="center" wrapText="1"/>
    </xf>
    <xf numFmtId="41" fontId="49" fillId="12" borderId="136" xfId="1" applyFont="1" applyFill="1" applyBorder="1" applyAlignment="1">
      <alignment vertical="center" wrapText="1"/>
    </xf>
    <xf numFmtId="41" fontId="49" fillId="12" borderId="131" xfId="1" applyFont="1" applyFill="1" applyBorder="1" applyAlignment="1">
      <alignment horizontal="center" vertical="center" wrapText="1"/>
    </xf>
    <xf numFmtId="41" fontId="49" fillId="12" borderId="131" xfId="1" quotePrefix="1" applyFont="1" applyFill="1" applyBorder="1" applyAlignment="1">
      <alignment vertical="center" wrapText="1"/>
    </xf>
    <xf numFmtId="41" fontId="49" fillId="12" borderId="131" xfId="1" applyFont="1" applyFill="1" applyBorder="1" applyAlignment="1">
      <alignment vertical="center" wrapText="1"/>
    </xf>
    <xf numFmtId="10" fontId="49" fillId="12" borderId="131" xfId="4" quotePrefix="1" applyNumberFormat="1" applyFont="1" applyFill="1" applyBorder="1" applyAlignment="1">
      <alignment horizontal="center" vertical="center" wrapText="1"/>
    </xf>
    <xf numFmtId="41" fontId="49" fillId="12" borderId="134" xfId="1" applyFont="1" applyFill="1" applyBorder="1" applyAlignment="1">
      <alignment horizontal="center" vertical="center" wrapText="1"/>
    </xf>
    <xf numFmtId="41" fontId="49" fillId="12" borderId="49" xfId="1" applyFont="1" applyFill="1" applyBorder="1" applyAlignment="1">
      <alignment vertical="center"/>
    </xf>
    <xf numFmtId="41" fontId="49" fillId="12" borderId="164" xfId="1" applyFont="1" applyFill="1" applyBorder="1" applyAlignment="1">
      <alignment horizontal="left" vertical="center" wrapText="1"/>
    </xf>
    <xf numFmtId="41" fontId="49" fillId="12" borderId="170" xfId="1" applyFont="1" applyFill="1" applyBorder="1" applyAlignment="1">
      <alignment horizontal="center" vertical="center" wrapText="1"/>
    </xf>
    <xf numFmtId="41" fontId="49" fillId="12" borderId="92" xfId="1" applyFont="1" applyFill="1" applyBorder="1" applyAlignment="1">
      <alignment vertical="center"/>
    </xf>
    <xf numFmtId="41" fontId="49" fillId="12" borderId="192" xfId="1" applyFont="1" applyFill="1" applyBorder="1" applyAlignment="1">
      <alignment horizontal="center" vertical="center" wrapText="1"/>
    </xf>
    <xf numFmtId="41" fontId="49" fillId="12" borderId="192" xfId="1" applyFont="1" applyFill="1" applyBorder="1" applyAlignment="1">
      <alignment vertical="center" wrapText="1"/>
    </xf>
    <xf numFmtId="41" fontId="49" fillId="12" borderId="146" xfId="1" applyFont="1" applyFill="1" applyBorder="1" applyAlignment="1">
      <alignment horizontal="center" vertical="center" wrapText="1"/>
    </xf>
    <xf numFmtId="41" fontId="49" fillId="12" borderId="115" xfId="1" applyFont="1" applyFill="1" applyBorder="1" applyAlignment="1">
      <alignment horizontal="center" vertical="center" wrapText="1"/>
    </xf>
    <xf numFmtId="41" fontId="49" fillId="12" borderId="115" xfId="1" applyFont="1" applyFill="1" applyBorder="1" applyAlignment="1">
      <alignment vertical="center" wrapText="1"/>
    </xf>
    <xf numFmtId="41" fontId="49" fillId="12" borderId="36" xfId="1" applyFont="1" applyFill="1" applyBorder="1" applyAlignment="1">
      <alignment horizontal="center" vertical="center" wrapText="1"/>
    </xf>
    <xf numFmtId="41" fontId="49" fillId="12" borderId="176" xfId="1" applyFont="1" applyFill="1" applyBorder="1" applyAlignment="1">
      <alignment horizontal="center" vertical="center" wrapText="1"/>
    </xf>
    <xf numFmtId="41" fontId="49" fillId="12" borderId="188" xfId="1" applyFont="1" applyFill="1" applyBorder="1" applyAlignment="1">
      <alignment horizontal="center" vertical="center" wrapText="1"/>
    </xf>
    <xf numFmtId="41" fontId="49" fillId="0" borderId="183" xfId="1" applyFont="1" applyFill="1" applyBorder="1" applyAlignment="1">
      <alignment horizontal="left" vertical="center" wrapText="1"/>
    </xf>
    <xf numFmtId="41" fontId="49" fillId="0" borderId="177" xfId="1" applyFont="1" applyFill="1" applyBorder="1" applyAlignment="1">
      <alignment horizontal="center" vertical="center" wrapText="1"/>
    </xf>
    <xf numFmtId="41" fontId="49" fillId="0" borderId="177" xfId="1" applyFont="1" applyFill="1" applyBorder="1" applyAlignment="1">
      <alignment vertical="center" wrapText="1"/>
    </xf>
    <xf numFmtId="41" fontId="49" fillId="0" borderId="137" xfId="1" applyFont="1" applyFill="1" applyBorder="1" applyAlignment="1">
      <alignment horizontal="center" vertical="center" wrapText="1"/>
    </xf>
    <xf numFmtId="41" fontId="49" fillId="0" borderId="135" xfId="1" applyFont="1" applyFill="1" applyBorder="1" applyAlignment="1">
      <alignment horizontal="center" vertical="center" wrapText="1"/>
    </xf>
    <xf numFmtId="41" fontId="49" fillId="0" borderId="195" xfId="1" applyFont="1" applyFill="1" applyBorder="1" applyAlignment="1">
      <alignment horizontal="center" vertical="center"/>
    </xf>
    <xf numFmtId="41" fontId="49" fillId="0" borderId="36" xfId="1" applyFont="1" applyFill="1" applyBorder="1" applyAlignment="1">
      <alignment vertical="center"/>
    </xf>
    <xf numFmtId="176" fontId="49" fillId="3" borderId="114" xfId="0" applyNumberFormat="1" applyFont="1" applyFill="1" applyBorder="1" applyAlignment="1">
      <alignment vertical="center"/>
    </xf>
    <xf numFmtId="176" fontId="49" fillId="3" borderId="115" xfId="0" applyNumberFormat="1" applyFont="1" applyFill="1" applyBorder="1" applyAlignment="1">
      <alignment horizontal="center" vertical="center"/>
    </xf>
    <xf numFmtId="176" fontId="49" fillId="3" borderId="177" xfId="0" applyNumberFormat="1" applyFont="1" applyFill="1" applyBorder="1" applyAlignment="1">
      <alignment horizontal="center" vertical="center"/>
    </xf>
    <xf numFmtId="176" fontId="49" fillId="3" borderId="163" xfId="0" applyNumberFormat="1" applyFont="1" applyFill="1" applyBorder="1" applyAlignment="1">
      <alignment vertical="center"/>
    </xf>
    <xf numFmtId="41" fontId="50" fillId="3" borderId="137" xfId="1" applyFont="1" applyFill="1" applyBorder="1" applyAlignment="1">
      <alignment horizontal="center" vertical="center"/>
    </xf>
    <xf numFmtId="41" fontId="49" fillId="3" borderId="184" xfId="1" applyFont="1" applyFill="1" applyBorder="1" applyAlignment="1">
      <alignment vertical="center"/>
    </xf>
    <xf numFmtId="41" fontId="49" fillId="3" borderId="85" xfId="1" applyFont="1" applyFill="1" applyBorder="1" applyAlignment="1">
      <alignment vertical="center"/>
    </xf>
    <xf numFmtId="41" fontId="49" fillId="3" borderId="86" xfId="1" applyFont="1" applyFill="1" applyBorder="1" applyAlignment="1">
      <alignment vertical="center"/>
    </xf>
    <xf numFmtId="0" fontId="42" fillId="3" borderId="44" xfId="2" applyFont="1" applyFill="1" applyBorder="1" applyAlignment="1">
      <alignment horizontal="center" vertical="center" shrinkToFit="1"/>
    </xf>
    <xf numFmtId="0" fontId="42" fillId="3" borderId="45" xfId="2" applyFont="1" applyFill="1" applyBorder="1" applyAlignment="1">
      <alignment horizontal="center" vertical="center" shrinkToFit="1"/>
    </xf>
    <xf numFmtId="41" fontId="42" fillId="7" borderId="45" xfId="1" applyFont="1" applyFill="1" applyBorder="1" applyAlignment="1">
      <alignment horizontal="center" vertical="center" shrinkToFit="1"/>
    </xf>
    <xf numFmtId="3" fontId="0" fillId="0" borderId="0" xfId="0" applyNumberFormat="1"/>
    <xf numFmtId="176" fontId="49" fillId="3" borderId="154" xfId="0" applyNumberFormat="1" applyFont="1" applyFill="1" applyBorder="1" applyAlignment="1">
      <alignment vertical="center"/>
    </xf>
    <xf numFmtId="176" fontId="49" fillId="3" borderId="155" xfId="0" applyNumberFormat="1" applyFont="1" applyFill="1" applyBorder="1" applyAlignment="1">
      <alignment vertical="center"/>
    </xf>
    <xf numFmtId="176" fontId="49" fillId="3" borderId="155" xfId="0" applyNumberFormat="1" applyFont="1" applyFill="1" applyBorder="1" applyAlignment="1">
      <alignment horizontal="center" vertical="center"/>
    </xf>
    <xf numFmtId="176" fontId="49" fillId="3" borderId="156" xfId="0" applyNumberFormat="1" applyFont="1" applyFill="1" applyBorder="1" applyAlignment="1">
      <alignment vertical="center"/>
    </xf>
    <xf numFmtId="176" fontId="49" fillId="3" borderId="183" xfId="0" applyNumberFormat="1" applyFont="1" applyFill="1" applyBorder="1" applyAlignment="1">
      <alignment vertical="center"/>
    </xf>
    <xf numFmtId="176" fontId="49" fillId="3" borderId="177" xfId="0" applyNumberFormat="1" applyFont="1" applyFill="1" applyBorder="1" applyAlignment="1">
      <alignment vertical="center"/>
    </xf>
    <xf numFmtId="176" fontId="49" fillId="3" borderId="177" xfId="0" applyNumberFormat="1" applyFont="1" applyFill="1" applyBorder="1" applyAlignment="1">
      <alignment horizontal="center" vertical="center" wrapText="1"/>
    </xf>
    <xf numFmtId="176" fontId="50" fillId="3" borderId="181" xfId="0" applyNumberFormat="1" applyFont="1" applyFill="1" applyBorder="1" applyAlignment="1">
      <alignment vertical="center"/>
    </xf>
    <xf numFmtId="41" fontId="52" fillId="3" borderId="0" xfId="1" applyFont="1" applyFill="1" applyAlignment="1"/>
    <xf numFmtId="41" fontId="53" fillId="3" borderId="0" xfId="1" applyFont="1" applyFill="1" applyAlignment="1"/>
    <xf numFmtId="41" fontId="53" fillId="12" borderId="0" xfId="1" applyFont="1" applyFill="1" applyAlignment="1"/>
    <xf numFmtId="41" fontId="53" fillId="3" borderId="0" xfId="1" applyFont="1" applyFill="1" applyBorder="1" applyAlignment="1"/>
    <xf numFmtId="41" fontId="49" fillId="0" borderId="25" xfId="1" applyFont="1" applyFill="1" applyBorder="1" applyAlignment="1">
      <alignment vertical="center"/>
    </xf>
    <xf numFmtId="41" fontId="49" fillId="0" borderId="17" xfId="1" applyFont="1" applyFill="1" applyBorder="1" applyAlignment="1">
      <alignment horizontal="right" vertical="center"/>
    </xf>
    <xf numFmtId="41" fontId="49" fillId="0" borderId="17" xfId="1" applyFont="1" applyFill="1" applyBorder="1" applyAlignment="1">
      <alignment vertical="center"/>
    </xf>
    <xf numFmtId="41" fontId="49" fillId="0" borderId="17" xfId="1" applyFont="1" applyFill="1" applyBorder="1" applyAlignment="1">
      <alignment horizontal="center" vertical="center"/>
    </xf>
    <xf numFmtId="41" fontId="50" fillId="0" borderId="19" xfId="1" applyFont="1" applyFill="1" applyBorder="1" applyAlignment="1">
      <alignment horizontal="center" vertical="center"/>
    </xf>
    <xf numFmtId="41" fontId="49" fillId="0" borderId="85" xfId="1" applyFont="1" applyFill="1" applyBorder="1" applyAlignment="1"/>
    <xf numFmtId="41" fontId="49" fillId="0" borderId="86" xfId="1" applyFont="1" applyFill="1" applyBorder="1" applyAlignment="1">
      <alignment horizontal="right"/>
    </xf>
    <xf numFmtId="41" fontId="49" fillId="0" borderId="86" xfId="1" applyFont="1" applyFill="1" applyBorder="1" applyAlignment="1"/>
    <xf numFmtId="41" fontId="49" fillId="0" borderId="86" xfId="1" applyFont="1" applyFill="1" applyBorder="1" applyAlignment="1">
      <alignment horizontal="center"/>
    </xf>
    <xf numFmtId="41" fontId="49" fillId="0" borderId="84" xfId="1" applyFont="1" applyFill="1" applyBorder="1" applyAlignment="1">
      <alignment horizontal="center"/>
    </xf>
    <xf numFmtId="41" fontId="50" fillId="0" borderId="35" xfId="1" applyFont="1" applyFill="1" applyBorder="1" applyAlignment="1">
      <alignment horizontal="center" vertical="center"/>
    </xf>
    <xf numFmtId="41" fontId="49" fillId="0" borderId="26" xfId="1" applyFont="1" applyFill="1" applyBorder="1" applyAlignment="1"/>
    <xf numFmtId="41" fontId="49" fillId="0" borderId="1" xfId="1" applyFont="1" applyFill="1" applyBorder="1" applyAlignment="1">
      <alignment horizontal="right"/>
    </xf>
    <xf numFmtId="41" fontId="49" fillId="0" borderId="1" xfId="1" applyFont="1" applyFill="1" applyBorder="1" applyAlignment="1"/>
    <xf numFmtId="41" fontId="49" fillId="0" borderId="1" xfId="1" applyFont="1" applyFill="1" applyBorder="1" applyAlignment="1">
      <alignment horizontal="center"/>
    </xf>
    <xf numFmtId="41" fontId="50" fillId="0" borderId="66" xfId="1" applyFont="1" applyFill="1" applyBorder="1" applyAlignment="1">
      <alignment vertical="center"/>
    </xf>
    <xf numFmtId="41" fontId="50" fillId="0" borderId="19" xfId="1" applyFont="1" applyFill="1" applyBorder="1" applyAlignment="1"/>
    <xf numFmtId="41" fontId="50" fillId="0" borderId="25" xfId="1" applyFont="1" applyFill="1" applyBorder="1" applyAlignment="1">
      <alignment vertical="center"/>
    </xf>
    <xf numFmtId="41" fontId="50" fillId="0" borderId="17" xfId="1" applyFont="1" applyFill="1" applyBorder="1" applyAlignment="1">
      <alignment horizontal="right" vertical="center"/>
    </xf>
    <xf numFmtId="41" fontId="50" fillId="0" borderId="17" xfId="1" applyFont="1" applyFill="1" applyBorder="1" applyAlignment="1">
      <alignment vertical="center"/>
    </xf>
    <xf numFmtId="41" fontId="50" fillId="0" borderId="17" xfId="1" applyFont="1" applyFill="1" applyBorder="1" applyAlignment="1">
      <alignment horizontal="center" vertical="center"/>
    </xf>
    <xf numFmtId="41" fontId="50" fillId="0" borderId="31" xfId="1" applyFont="1" applyFill="1" applyBorder="1" applyAlignment="1">
      <alignment horizontal="center" vertical="center"/>
    </xf>
    <xf numFmtId="41" fontId="50" fillId="0" borderId="19" xfId="1" applyFont="1" applyFill="1" applyBorder="1" applyAlignment="1">
      <alignment vertical="center"/>
    </xf>
    <xf numFmtId="41" fontId="50" fillId="0" borderId="70" xfId="1" applyFont="1" applyFill="1" applyBorder="1" applyAlignment="1">
      <alignment horizontal="center" vertical="center"/>
    </xf>
    <xf numFmtId="41" fontId="49" fillId="0" borderId="172" xfId="1" applyFont="1" applyFill="1" applyBorder="1" applyAlignment="1">
      <alignment horizontal="left" vertical="center" wrapText="1"/>
    </xf>
    <xf numFmtId="41" fontId="49" fillId="0" borderId="173" xfId="1" applyFont="1" applyFill="1" applyBorder="1" applyAlignment="1">
      <alignment horizontal="center" vertical="center" wrapText="1"/>
    </xf>
    <xf numFmtId="41" fontId="49" fillId="0" borderId="173" xfId="1" applyFont="1" applyFill="1" applyBorder="1" applyAlignment="1">
      <alignment vertical="center" wrapText="1"/>
    </xf>
    <xf numFmtId="176" fontId="49" fillId="0" borderId="191" xfId="0" applyNumberFormat="1" applyFont="1" applyBorder="1" applyAlignment="1">
      <alignment vertical="center"/>
    </xf>
    <xf numFmtId="41" fontId="49" fillId="0" borderId="115" xfId="1" applyFont="1" applyFill="1" applyBorder="1" applyAlignment="1">
      <alignment horizontal="center" vertical="center" wrapText="1"/>
    </xf>
    <xf numFmtId="41" fontId="49" fillId="0" borderId="115" xfId="1" applyFont="1" applyFill="1" applyBorder="1" applyAlignment="1">
      <alignment vertical="center" wrapText="1"/>
    </xf>
    <xf numFmtId="176" fontId="49" fillId="0" borderId="157" xfId="0" applyNumberFormat="1" applyFont="1" applyBorder="1" applyAlignment="1">
      <alignment vertical="center"/>
    </xf>
    <xf numFmtId="176" fontId="49" fillId="0" borderId="179" xfId="0" applyNumberFormat="1" applyFont="1" applyBorder="1" applyAlignment="1">
      <alignment vertical="center"/>
    </xf>
    <xf numFmtId="41" fontId="49" fillId="0" borderId="176" xfId="1" applyFont="1" applyFill="1" applyBorder="1" applyAlignment="1">
      <alignment horizontal="center" vertical="center" wrapText="1"/>
    </xf>
    <xf numFmtId="41" fontId="49" fillId="0" borderId="176" xfId="1" applyFont="1" applyFill="1" applyBorder="1" applyAlignment="1">
      <alignment vertical="center" wrapText="1"/>
    </xf>
    <xf numFmtId="176" fontId="49" fillId="0" borderId="188" xfId="0" applyNumberFormat="1" applyFont="1" applyBorder="1" applyAlignment="1">
      <alignment vertical="center"/>
    </xf>
    <xf numFmtId="41" fontId="49" fillId="0" borderId="135" xfId="1" applyFont="1" applyFill="1" applyBorder="1" applyAlignment="1">
      <alignment vertical="center" wrapText="1"/>
    </xf>
    <xf numFmtId="176" fontId="49" fillId="0" borderId="146" xfId="0" applyNumberFormat="1" applyFont="1" applyBorder="1" applyAlignment="1">
      <alignment vertical="center"/>
    </xf>
    <xf numFmtId="41" fontId="49" fillId="0" borderId="184" xfId="1" applyFont="1" applyFill="1" applyBorder="1" applyAlignment="1">
      <alignment horizontal="left" vertical="center" wrapText="1"/>
    </xf>
    <xf numFmtId="41" fontId="49" fillId="0" borderId="185" xfId="1" applyFont="1" applyFill="1" applyBorder="1" applyAlignment="1">
      <alignment horizontal="center" vertical="center" wrapText="1"/>
    </xf>
    <xf numFmtId="41" fontId="49" fillId="0" borderId="185" xfId="1" applyFont="1" applyFill="1" applyBorder="1" applyAlignment="1">
      <alignment vertical="center" wrapText="1"/>
    </xf>
    <xf numFmtId="0" fontId="49" fillId="0" borderId="197" xfId="3" applyNumberFormat="1" applyFont="1" applyFill="1" applyBorder="1" applyAlignment="1">
      <alignment horizontal="center" vertical="center" wrapText="1"/>
    </xf>
    <xf numFmtId="176" fontId="49" fillId="0" borderId="171" xfId="0" applyNumberFormat="1" applyFont="1" applyBorder="1" applyAlignment="1">
      <alignment vertical="center"/>
    </xf>
    <xf numFmtId="41" fontId="49" fillId="0" borderId="160" xfId="1" applyFont="1" applyFill="1" applyBorder="1" applyAlignment="1">
      <alignment horizontal="left" vertical="center" wrapText="1"/>
    </xf>
    <xf numFmtId="41" fontId="49" fillId="0" borderId="164" xfId="1" applyFont="1" applyFill="1" applyBorder="1" applyAlignment="1">
      <alignment horizontal="left" vertical="center" wrapText="1"/>
    </xf>
    <xf numFmtId="41" fontId="49" fillId="0" borderId="137" xfId="1" applyFont="1" applyFill="1" applyBorder="1" applyAlignment="1">
      <alignment vertical="center" wrapText="1"/>
    </xf>
    <xf numFmtId="0" fontId="49" fillId="0" borderId="195" xfId="3" applyNumberFormat="1" applyFont="1" applyFill="1" applyBorder="1" applyAlignment="1">
      <alignment horizontal="center" vertical="center" wrapText="1"/>
    </xf>
    <xf numFmtId="176" fontId="49" fillId="0" borderId="36" xfId="0" applyNumberFormat="1" applyFont="1" applyBorder="1" applyAlignment="1">
      <alignment vertical="center"/>
    </xf>
    <xf numFmtId="41" fontId="49" fillId="0" borderId="164" xfId="1" applyFont="1" applyFill="1" applyBorder="1" applyAlignment="1">
      <alignment horizontal="left" vertical="center"/>
    </xf>
    <xf numFmtId="41" fontId="49" fillId="0" borderId="137" xfId="1" applyFont="1" applyFill="1" applyBorder="1" applyAlignment="1">
      <alignment vertical="center"/>
    </xf>
    <xf numFmtId="41" fontId="49" fillId="0" borderId="182" xfId="1" applyFont="1" applyFill="1" applyBorder="1" applyAlignment="1">
      <alignment horizontal="left" vertical="center" wrapText="1"/>
    </xf>
    <xf numFmtId="41" fontId="49" fillId="0" borderId="184" xfId="1" applyFont="1" applyFill="1" applyBorder="1" applyAlignment="1">
      <alignment vertical="center" wrapText="1"/>
    </xf>
    <xf numFmtId="41" fontId="49" fillId="0" borderId="168" xfId="1" applyFont="1" applyFill="1" applyBorder="1" applyAlignment="1">
      <alignment vertical="center" wrapText="1"/>
    </xf>
    <xf numFmtId="41" fontId="49" fillId="0" borderId="169" xfId="1" applyFont="1" applyFill="1" applyBorder="1" applyAlignment="1">
      <alignment horizontal="center" vertical="center" wrapText="1"/>
    </xf>
    <xf numFmtId="41" fontId="49" fillId="0" borderId="169" xfId="1" applyFont="1" applyFill="1" applyBorder="1" applyAlignment="1">
      <alignment vertical="center" wrapText="1"/>
    </xf>
    <xf numFmtId="0" fontId="49" fillId="0" borderId="140" xfId="3" applyNumberFormat="1" applyFont="1" applyFill="1" applyBorder="1" applyAlignment="1">
      <alignment horizontal="center" vertical="center" wrapText="1"/>
    </xf>
    <xf numFmtId="176" fontId="49" fillId="0" borderId="81" xfId="0" applyNumberFormat="1" applyFont="1" applyBorder="1" applyAlignment="1">
      <alignment vertical="center"/>
    </xf>
    <xf numFmtId="41" fontId="50" fillId="0" borderId="25" xfId="1" applyFont="1" applyFill="1" applyBorder="1" applyAlignment="1">
      <alignment vertical="center" wrapText="1"/>
    </xf>
    <xf numFmtId="41" fontId="50" fillId="0" borderId="17" xfId="1" applyFont="1" applyFill="1" applyBorder="1" applyAlignment="1">
      <alignment horizontal="right" vertical="center" wrapText="1"/>
    </xf>
    <xf numFmtId="41" fontId="50" fillId="0" borderId="17" xfId="1" applyFont="1" applyFill="1" applyBorder="1" applyAlignment="1">
      <alignment vertical="center" wrapText="1"/>
    </xf>
    <xf numFmtId="41" fontId="50" fillId="0" borderId="31" xfId="1" applyFont="1" applyFill="1" applyBorder="1" applyAlignment="1">
      <alignment vertical="center" wrapText="1"/>
    </xf>
    <xf numFmtId="41" fontId="50" fillId="0" borderId="19" xfId="1" applyFont="1" applyFill="1" applyBorder="1" applyAlignment="1">
      <alignment vertical="center" wrapText="1"/>
    </xf>
    <xf numFmtId="41" fontId="50" fillId="0" borderId="26" xfId="1" applyFont="1" applyFill="1" applyBorder="1" applyAlignment="1">
      <alignment vertical="center"/>
    </xf>
    <xf numFmtId="41" fontId="50" fillId="0" borderId="1" xfId="1" applyFont="1" applyFill="1" applyBorder="1" applyAlignment="1">
      <alignment horizontal="right" vertical="center"/>
    </xf>
    <xf numFmtId="41" fontId="50" fillId="0" borderId="1" xfId="1" applyFont="1" applyFill="1" applyBorder="1" applyAlignment="1">
      <alignment vertical="center"/>
    </xf>
    <xf numFmtId="41" fontId="50" fillId="0" borderId="1" xfId="1" applyFont="1" applyFill="1" applyBorder="1" applyAlignment="1">
      <alignment horizontal="center" vertical="center"/>
    </xf>
    <xf numFmtId="41" fontId="50" fillId="0" borderId="16" xfId="1" applyFont="1" applyFill="1" applyBorder="1" applyAlignment="1">
      <alignment horizontal="center" vertical="center"/>
    </xf>
    <xf numFmtId="41" fontId="50" fillId="0" borderId="81" xfId="1" applyFont="1" applyFill="1" applyBorder="1" applyAlignment="1">
      <alignment vertical="center"/>
    </xf>
    <xf numFmtId="41" fontId="49" fillId="0" borderId="200" xfId="1" applyFont="1" applyFill="1" applyBorder="1" applyAlignment="1">
      <alignment vertical="center" wrapText="1"/>
    </xf>
    <xf numFmtId="41" fontId="49" fillId="0" borderId="201" xfId="1" applyFont="1" applyFill="1" applyBorder="1" applyAlignment="1">
      <alignment horizontal="center" vertical="center"/>
    </xf>
    <xf numFmtId="41" fontId="49" fillId="0" borderId="201" xfId="1" applyFont="1" applyFill="1" applyBorder="1" applyAlignment="1">
      <alignment vertical="center" wrapText="1"/>
    </xf>
    <xf numFmtId="41" fontId="49" fillId="0" borderId="201" xfId="1" applyFont="1" applyFill="1" applyBorder="1" applyAlignment="1">
      <alignment horizontal="center" vertical="center" wrapText="1"/>
    </xf>
    <xf numFmtId="41" fontId="49" fillId="0" borderId="202" xfId="1" applyFont="1" applyFill="1" applyBorder="1" applyAlignment="1">
      <alignment horizontal="center" vertical="center"/>
    </xf>
    <xf numFmtId="176" fontId="49" fillId="0" borderId="35" xfId="0" applyNumberFormat="1" applyFont="1" applyBorder="1" applyAlignment="1">
      <alignment vertical="center"/>
    </xf>
    <xf numFmtId="41" fontId="49" fillId="0" borderId="185" xfId="1" applyFont="1" applyFill="1" applyBorder="1" applyAlignment="1">
      <alignment horizontal="center" vertical="center"/>
    </xf>
    <xf numFmtId="41" fontId="49" fillId="0" borderId="186" xfId="1" applyFont="1" applyFill="1" applyBorder="1" applyAlignment="1">
      <alignment horizontal="center" vertical="center"/>
    </xf>
    <xf numFmtId="176" fontId="49" fillId="0" borderId="92" xfId="0" applyNumberFormat="1" applyFont="1" applyBorder="1" applyAlignment="1">
      <alignment vertical="center"/>
    </xf>
    <xf numFmtId="41" fontId="49" fillId="0" borderId="184" xfId="1" applyFont="1" applyFill="1" applyBorder="1" applyAlignment="1">
      <alignment horizontal="left" vertical="center"/>
    </xf>
    <xf numFmtId="41" fontId="49" fillId="0" borderId="192" xfId="1" applyFont="1" applyFill="1" applyBorder="1" applyAlignment="1">
      <alignment horizontal="center" vertical="center"/>
    </xf>
    <xf numFmtId="41" fontId="49" fillId="0" borderId="192" xfId="1" applyFont="1" applyFill="1" applyBorder="1" applyAlignment="1">
      <alignment vertical="center" wrapText="1"/>
    </xf>
    <xf numFmtId="41" fontId="49" fillId="0" borderId="192" xfId="1" applyFont="1" applyFill="1" applyBorder="1" applyAlignment="1">
      <alignment horizontal="center" vertical="center" wrapText="1"/>
    </xf>
    <xf numFmtId="41" fontId="49" fillId="0" borderId="180" xfId="1" applyFont="1" applyFill="1" applyBorder="1" applyAlignment="1">
      <alignment horizontal="center" vertical="center"/>
    </xf>
    <xf numFmtId="176" fontId="49" fillId="0" borderId="65" xfId="0" applyNumberFormat="1" applyFont="1" applyBorder="1" applyAlignment="1">
      <alignment vertical="center"/>
    </xf>
    <xf numFmtId="41" fontId="49" fillId="0" borderId="154" xfId="1" applyFont="1" applyFill="1" applyBorder="1" applyAlignment="1">
      <alignment horizontal="left" vertical="center" wrapText="1"/>
    </xf>
    <xf numFmtId="41" fontId="49" fillId="0" borderId="155" xfId="1" applyFont="1" applyFill="1" applyBorder="1" applyAlignment="1">
      <alignment horizontal="center" vertical="center"/>
    </xf>
    <xf numFmtId="41" fontId="49" fillId="0" borderId="155" xfId="1" applyFont="1" applyFill="1" applyBorder="1" applyAlignment="1">
      <alignment vertical="center" wrapText="1"/>
    </xf>
    <xf numFmtId="41" fontId="49" fillId="0" borderId="155" xfId="1" applyFont="1" applyFill="1" applyBorder="1" applyAlignment="1">
      <alignment horizontal="center" vertical="center" wrapText="1"/>
    </xf>
    <xf numFmtId="41" fontId="49" fillId="0" borderId="156" xfId="1" applyFont="1" applyFill="1" applyBorder="1" applyAlignment="1">
      <alignment horizontal="center" vertical="center"/>
    </xf>
    <xf numFmtId="176" fontId="49" fillId="0" borderId="147" xfId="0" applyNumberFormat="1" applyFont="1" applyBorder="1" applyAlignment="1">
      <alignment vertical="center"/>
    </xf>
    <xf numFmtId="41" fontId="50" fillId="0" borderId="35" xfId="1" applyFont="1" applyFill="1" applyBorder="1" applyAlignment="1">
      <alignment vertical="center"/>
    </xf>
    <xf numFmtId="41" fontId="49" fillId="0" borderId="111" xfId="1" applyFont="1" applyFill="1" applyBorder="1" applyAlignment="1">
      <alignment vertical="center" wrapText="1"/>
    </xf>
    <xf numFmtId="41" fontId="49" fillId="0" borderId="111" xfId="1" applyFont="1" applyFill="1" applyBorder="1" applyAlignment="1">
      <alignment horizontal="center" vertical="center" wrapText="1"/>
    </xf>
    <xf numFmtId="41" fontId="49" fillId="0" borderId="112" xfId="1" applyFont="1" applyFill="1" applyBorder="1" applyAlignment="1">
      <alignment horizontal="center" vertical="center"/>
    </xf>
    <xf numFmtId="41" fontId="49" fillId="0" borderId="191" xfId="1" applyFont="1" applyFill="1" applyBorder="1" applyAlignment="1">
      <alignment vertical="center"/>
    </xf>
    <xf numFmtId="41" fontId="49" fillId="0" borderId="116" xfId="1" applyFont="1" applyFill="1" applyBorder="1" applyAlignment="1">
      <alignment horizontal="center" vertical="center"/>
    </xf>
    <xf numFmtId="41" fontId="49" fillId="0" borderId="157" xfId="1" applyFont="1" applyFill="1" applyBorder="1" applyAlignment="1">
      <alignment vertical="center"/>
    </xf>
    <xf numFmtId="41" fontId="49" fillId="0" borderId="193" xfId="1" applyFont="1" applyFill="1" applyBorder="1" applyAlignment="1">
      <alignment horizontal="center" vertical="center"/>
    </xf>
    <xf numFmtId="41" fontId="49" fillId="0" borderId="179" xfId="1" applyFont="1" applyFill="1" applyBorder="1" applyAlignment="1">
      <alignment vertical="center"/>
    </xf>
    <xf numFmtId="41" fontId="49" fillId="0" borderId="194" xfId="1" applyFont="1" applyFill="1" applyBorder="1" applyAlignment="1">
      <alignment horizontal="center" vertical="center"/>
    </xf>
    <xf numFmtId="41" fontId="49" fillId="0" borderId="188" xfId="1" applyFont="1" applyFill="1" applyBorder="1" applyAlignment="1">
      <alignment vertical="center"/>
    </xf>
    <xf numFmtId="41" fontId="49" fillId="0" borderId="174" xfId="1" applyFont="1" applyFill="1" applyBorder="1" applyAlignment="1">
      <alignment horizontal="center" vertical="center"/>
    </xf>
    <xf numFmtId="41" fontId="49" fillId="0" borderId="159" xfId="1" applyFont="1" applyFill="1" applyBorder="1" applyAlignment="1">
      <alignment horizontal="center" vertical="center"/>
    </xf>
    <xf numFmtId="41" fontId="49" fillId="0" borderId="197" xfId="1" applyFont="1" applyFill="1" applyBorder="1" applyAlignment="1">
      <alignment horizontal="center" vertical="center"/>
    </xf>
    <xf numFmtId="41" fontId="49" fillId="0" borderId="171" xfId="1" applyFont="1" applyFill="1" applyBorder="1" applyAlignment="1">
      <alignment vertical="center"/>
    </xf>
    <xf numFmtId="41" fontId="49" fillId="0" borderId="146" xfId="1" applyFont="1" applyFill="1" applyBorder="1" applyAlignment="1">
      <alignment vertical="center"/>
    </xf>
    <xf numFmtId="41" fontId="49" fillId="0" borderId="140" xfId="1" applyFont="1" applyFill="1" applyBorder="1" applyAlignment="1">
      <alignment horizontal="center" vertical="center"/>
    </xf>
    <xf numFmtId="41" fontId="49" fillId="0" borderId="81" xfId="1" applyFont="1" applyFill="1" applyBorder="1" applyAlignment="1">
      <alignment vertical="center"/>
    </xf>
    <xf numFmtId="41" fontId="50" fillId="0" borderId="20" xfId="1" applyFont="1" applyFill="1" applyBorder="1" applyAlignment="1">
      <alignment vertical="center"/>
    </xf>
    <xf numFmtId="41" fontId="50" fillId="0" borderId="21" xfId="1" applyFont="1" applyFill="1" applyBorder="1" applyAlignment="1">
      <alignment horizontal="center" vertical="center"/>
    </xf>
    <xf numFmtId="41" fontId="50" fillId="0" borderId="21" xfId="1" applyFont="1" applyFill="1" applyBorder="1" applyAlignment="1">
      <alignment vertical="center"/>
    </xf>
    <xf numFmtId="41" fontId="50" fillId="0" borderId="6" xfId="1" applyFont="1" applyFill="1" applyBorder="1" applyAlignment="1">
      <alignment horizontal="center" vertical="center"/>
    </xf>
    <xf numFmtId="41" fontId="49" fillId="0" borderId="146" xfId="1" applyFont="1" applyFill="1" applyBorder="1" applyAlignment="1">
      <alignment horizontal="center" vertical="center" wrapText="1"/>
    </xf>
    <xf numFmtId="41" fontId="49" fillId="0" borderId="181" xfId="1" applyFont="1" applyFill="1" applyBorder="1" applyAlignment="1">
      <alignment horizontal="center" vertical="center" wrapText="1"/>
    </xf>
    <xf numFmtId="41" fontId="49" fillId="0" borderId="188" xfId="1" applyFont="1" applyFill="1" applyBorder="1" applyAlignment="1">
      <alignment horizontal="center" vertical="center" wrapText="1"/>
    </xf>
    <xf numFmtId="41" fontId="49" fillId="0" borderId="180" xfId="1" applyFont="1" applyFill="1" applyBorder="1" applyAlignment="1">
      <alignment horizontal="center" vertical="center" wrapText="1"/>
    </xf>
    <xf numFmtId="41" fontId="49" fillId="0" borderId="170" xfId="1" applyFont="1" applyFill="1" applyBorder="1" applyAlignment="1">
      <alignment horizontal="center" vertical="center" wrapText="1"/>
    </xf>
    <xf numFmtId="41" fontId="49" fillId="0" borderId="36" xfId="1" applyFont="1" applyFill="1" applyBorder="1" applyAlignment="1">
      <alignment horizontal="center" vertical="center" wrapText="1"/>
    </xf>
    <xf numFmtId="41" fontId="49" fillId="0" borderId="171" xfId="1" applyFont="1" applyFill="1" applyBorder="1" applyAlignment="1">
      <alignment horizontal="center" vertical="center" wrapText="1"/>
    </xf>
    <xf numFmtId="41" fontId="49" fillId="0" borderId="186" xfId="1" applyFont="1" applyFill="1" applyBorder="1" applyAlignment="1">
      <alignment horizontal="center" vertical="center" wrapText="1"/>
    </xf>
    <xf numFmtId="41" fontId="49" fillId="0" borderId="161" xfId="1" applyFont="1" applyFill="1" applyBorder="1" applyAlignment="1">
      <alignment horizontal="center" vertical="center" wrapText="1"/>
    </xf>
    <xf numFmtId="41" fontId="50" fillId="0" borderId="85" xfId="1" applyFont="1" applyFill="1" applyBorder="1" applyAlignment="1">
      <alignment vertical="center"/>
    </xf>
    <xf numFmtId="41" fontId="50" fillId="0" borderId="86" xfId="1" applyFont="1" applyFill="1" applyBorder="1" applyAlignment="1">
      <alignment horizontal="center" vertical="center"/>
    </xf>
    <xf numFmtId="41" fontId="50" fillId="0" borderId="84" xfId="1" applyFont="1" applyFill="1" applyBorder="1" applyAlignment="1">
      <alignment horizontal="center" vertical="center"/>
    </xf>
    <xf numFmtId="41" fontId="49" fillId="0" borderId="65" xfId="1" applyFont="1" applyFill="1" applyBorder="1" applyAlignment="1">
      <alignment vertical="center"/>
    </xf>
    <xf numFmtId="41" fontId="49" fillId="0" borderId="92" xfId="1" applyFont="1" applyFill="1" applyBorder="1" applyAlignment="1">
      <alignment vertical="center"/>
    </xf>
    <xf numFmtId="9" fontId="49" fillId="0" borderId="173" xfId="1" applyNumberFormat="1" applyFont="1" applyFill="1" applyBorder="1" applyAlignment="1">
      <alignment horizontal="center" vertical="center" wrapText="1"/>
    </xf>
    <xf numFmtId="9" fontId="49" fillId="0" borderId="176" xfId="1" applyNumberFormat="1" applyFont="1" applyFill="1" applyBorder="1" applyAlignment="1">
      <alignment horizontal="center" vertical="center" wrapText="1"/>
    </xf>
    <xf numFmtId="41" fontId="49" fillId="0" borderId="174" xfId="1" applyFont="1" applyFill="1" applyBorder="1" applyAlignment="1">
      <alignment horizontal="center" vertical="center" wrapText="1"/>
    </xf>
    <xf numFmtId="41" fontId="49" fillId="0" borderId="183" xfId="1" applyFont="1" applyFill="1" applyBorder="1" applyAlignment="1">
      <alignment vertical="center" wrapText="1"/>
    </xf>
    <xf numFmtId="41" fontId="36" fillId="0" borderId="153" xfId="1" applyFont="1" applyFill="1" applyBorder="1" applyAlignment="1">
      <alignment vertical="center"/>
    </xf>
    <xf numFmtId="41" fontId="36" fillId="0" borderId="111" xfId="1" applyFont="1" applyFill="1" applyBorder="1" applyAlignment="1">
      <alignment horizontal="center" vertical="center"/>
    </xf>
    <xf numFmtId="41" fontId="49" fillId="0" borderId="111" xfId="1" applyFont="1" applyFill="1" applyBorder="1" applyAlignment="1">
      <alignment horizontal="center" vertical="center"/>
    </xf>
    <xf numFmtId="41" fontId="49" fillId="0" borderId="113" xfId="1" applyFont="1" applyFill="1" applyBorder="1" applyAlignment="1">
      <alignment horizontal="center" vertical="center"/>
    </xf>
    <xf numFmtId="41" fontId="36" fillId="0" borderId="160" xfId="1" applyFont="1" applyFill="1" applyBorder="1" applyAlignment="1">
      <alignment vertical="center"/>
    </xf>
    <xf numFmtId="41" fontId="36" fillId="0" borderId="135" xfId="1" applyFont="1" applyFill="1" applyBorder="1" applyAlignment="1">
      <alignment horizontal="center" vertical="center"/>
    </xf>
    <xf numFmtId="41" fontId="49" fillId="0" borderId="135" xfId="1" applyFont="1" applyFill="1" applyBorder="1" applyAlignment="1">
      <alignment horizontal="center" vertical="center"/>
    </xf>
    <xf numFmtId="41" fontId="49" fillId="0" borderId="161" xfId="1" applyFont="1" applyFill="1" applyBorder="1" applyAlignment="1">
      <alignment horizontal="center" vertical="center"/>
    </xf>
    <xf numFmtId="41" fontId="50" fillId="0" borderId="86" xfId="1" applyFont="1" applyFill="1" applyBorder="1" applyAlignment="1">
      <alignment horizontal="right" vertical="center"/>
    </xf>
    <xf numFmtId="41" fontId="49" fillId="0" borderId="168" xfId="1" applyFont="1" applyFill="1" applyBorder="1" applyAlignment="1">
      <alignment vertical="center"/>
    </xf>
    <xf numFmtId="41" fontId="49" fillId="0" borderId="169" xfId="1" applyFont="1" applyFill="1" applyBorder="1" applyAlignment="1">
      <alignment horizontal="right" vertical="center"/>
    </xf>
    <xf numFmtId="41" fontId="49" fillId="0" borderId="169" xfId="1" applyFont="1" applyFill="1" applyBorder="1" applyAlignment="1">
      <alignment vertical="center"/>
    </xf>
    <xf numFmtId="41" fontId="49" fillId="0" borderId="169" xfId="1" applyFont="1" applyFill="1" applyBorder="1" applyAlignment="1">
      <alignment horizontal="center" vertical="center"/>
    </xf>
    <xf numFmtId="0" fontId="49" fillId="0" borderId="189" xfId="1" applyNumberFormat="1" applyFont="1" applyFill="1" applyBorder="1" applyAlignment="1">
      <alignment horizontal="center" vertical="center"/>
    </xf>
    <xf numFmtId="41" fontId="50" fillId="0" borderId="21" xfId="1" applyFont="1" applyFill="1" applyBorder="1" applyAlignment="1">
      <alignment horizontal="right" vertical="center"/>
    </xf>
    <xf numFmtId="41" fontId="36" fillId="0" borderId="154" xfId="1" applyFont="1" applyFill="1" applyBorder="1" applyAlignment="1">
      <alignment vertical="center"/>
    </xf>
    <xf numFmtId="41" fontId="36" fillId="0" borderId="155" xfId="1" applyFont="1" applyFill="1" applyBorder="1" applyAlignment="1">
      <alignment horizontal="center" vertical="center"/>
    </xf>
    <xf numFmtId="41" fontId="49" fillId="0" borderId="160" xfId="1" applyFont="1" applyFill="1" applyBorder="1" applyAlignment="1">
      <alignment vertical="center" wrapText="1"/>
    </xf>
    <xf numFmtId="41" fontId="49" fillId="0" borderId="135" xfId="1" quotePrefix="1" applyFont="1" applyFill="1" applyBorder="1" applyAlignment="1">
      <alignment vertical="center" wrapText="1"/>
    </xf>
    <xf numFmtId="10" fontId="49" fillId="0" borderId="111" xfId="4" quotePrefix="1" applyNumberFormat="1" applyFont="1" applyFill="1" applyBorder="1" applyAlignment="1">
      <alignment horizontal="center" vertical="center" wrapText="1"/>
    </xf>
    <xf numFmtId="41" fontId="49" fillId="0" borderId="43" xfId="1" applyFont="1" applyFill="1" applyBorder="1" applyAlignment="1">
      <alignment vertical="center"/>
    </xf>
    <xf numFmtId="41" fontId="49" fillId="0" borderId="136" xfId="1" applyFont="1" applyFill="1" applyBorder="1" applyAlignment="1">
      <alignment vertical="center" wrapText="1"/>
    </xf>
    <xf numFmtId="41" fontId="49" fillId="0" borderId="131" xfId="1" applyFont="1" applyFill="1" applyBorder="1" applyAlignment="1">
      <alignment horizontal="center" vertical="center" wrapText="1"/>
    </xf>
    <xf numFmtId="41" fontId="49" fillId="0" borderId="131" xfId="1" quotePrefix="1" applyFont="1" applyFill="1" applyBorder="1" applyAlignment="1">
      <alignment vertical="center" wrapText="1"/>
    </xf>
    <xf numFmtId="41" fontId="49" fillId="0" borderId="131" xfId="1" applyFont="1" applyFill="1" applyBorder="1" applyAlignment="1">
      <alignment vertical="center" wrapText="1"/>
    </xf>
    <xf numFmtId="10" fontId="49" fillId="0" borderId="131" xfId="4" quotePrefix="1" applyNumberFormat="1" applyFont="1" applyFill="1" applyBorder="1" applyAlignment="1">
      <alignment horizontal="center" vertical="center" wrapText="1"/>
    </xf>
    <xf numFmtId="41" fontId="49" fillId="0" borderId="134" xfId="1" applyFont="1" applyFill="1" applyBorder="1" applyAlignment="1">
      <alignment horizontal="center" vertical="center" wrapText="1"/>
    </xf>
    <xf numFmtId="41" fontId="49" fillId="0" borderId="49" xfId="1" applyFont="1" applyFill="1" applyBorder="1" applyAlignment="1">
      <alignment vertical="center"/>
    </xf>
    <xf numFmtId="41" fontId="49" fillId="0" borderId="136" xfId="1" applyFont="1" applyFill="1" applyBorder="1" applyAlignment="1">
      <alignment vertical="center"/>
    </xf>
    <xf numFmtId="10" fontId="49" fillId="0" borderId="135" xfId="4" quotePrefix="1" applyNumberFormat="1" applyFont="1" applyFill="1" applyBorder="1" applyAlignment="1">
      <alignment horizontal="center" vertical="center" wrapText="1"/>
    </xf>
    <xf numFmtId="10" fontId="49" fillId="0" borderId="169" xfId="4" quotePrefix="1" applyNumberFormat="1" applyFont="1" applyFill="1" applyBorder="1" applyAlignment="1">
      <alignment horizontal="center" vertical="center" wrapText="1"/>
    </xf>
    <xf numFmtId="41" fontId="49" fillId="0" borderId="189" xfId="1" applyFont="1" applyFill="1" applyBorder="1" applyAlignment="1">
      <alignment horizontal="center" vertical="center" wrapText="1"/>
    </xf>
    <xf numFmtId="41" fontId="49" fillId="0" borderId="31" xfId="1" applyFont="1" applyFill="1" applyBorder="1" applyAlignment="1">
      <alignment horizontal="center" vertical="center" wrapText="1"/>
    </xf>
    <xf numFmtId="41" fontId="49" fillId="0" borderId="162" xfId="1" applyFont="1" applyFill="1" applyBorder="1" applyAlignment="1">
      <alignment vertical="center" wrapText="1"/>
    </xf>
    <xf numFmtId="41" fontId="49" fillId="0" borderId="21" xfId="1" applyFont="1" applyFill="1" applyBorder="1" applyAlignment="1">
      <alignment horizontal="center" vertical="center" wrapText="1"/>
    </xf>
    <xf numFmtId="41" fontId="49" fillId="0" borderId="190" xfId="1" quotePrefix="1" applyFont="1" applyFill="1" applyBorder="1" applyAlignment="1">
      <alignment vertical="center" wrapText="1"/>
    </xf>
    <xf numFmtId="41" fontId="49" fillId="0" borderId="204" xfId="1" applyFont="1" applyFill="1" applyBorder="1" applyAlignment="1">
      <alignment vertical="center" wrapText="1"/>
    </xf>
    <xf numFmtId="10" fontId="49" fillId="0" borderId="190" xfId="1" applyNumberFormat="1" applyFont="1" applyFill="1" applyBorder="1" applyAlignment="1">
      <alignment horizontal="center" vertical="center" wrapText="1"/>
    </xf>
    <xf numFmtId="176" fontId="49" fillId="0" borderId="6" xfId="0" applyNumberFormat="1" applyFont="1" applyBorder="1" applyAlignment="1">
      <alignment horizontal="center" vertical="center" wrapText="1"/>
    </xf>
    <xf numFmtId="41" fontId="49" fillId="0" borderId="149" xfId="1" applyFont="1" applyFill="1" applyBorder="1" applyAlignment="1">
      <alignment horizontal="center" vertical="center" wrapText="1"/>
    </xf>
    <xf numFmtId="41" fontId="49" fillId="0" borderId="185" xfId="1" quotePrefix="1" applyFont="1" applyFill="1" applyBorder="1" applyAlignment="1">
      <alignment vertical="center" wrapText="1"/>
    </xf>
    <xf numFmtId="41" fontId="49" fillId="0" borderId="197" xfId="1" applyFont="1" applyFill="1" applyBorder="1" applyAlignment="1">
      <alignment vertical="center" wrapText="1"/>
    </xf>
    <xf numFmtId="178" fontId="49" fillId="0" borderId="185" xfId="1" applyNumberFormat="1" applyFont="1" applyFill="1" applyBorder="1" applyAlignment="1">
      <alignment horizontal="center" vertical="center" wrapText="1"/>
    </xf>
    <xf numFmtId="10" fontId="49" fillId="0" borderId="185" xfId="1" applyNumberFormat="1" applyFont="1" applyFill="1" applyBorder="1" applyAlignment="1">
      <alignment horizontal="center" vertical="center" wrapText="1"/>
    </xf>
    <xf numFmtId="41" fontId="49" fillId="0" borderId="94" xfId="1" applyFont="1" applyFill="1" applyBorder="1" applyAlignment="1">
      <alignment horizontal="center" vertical="center" wrapText="1"/>
    </xf>
    <xf numFmtId="41" fontId="49" fillId="0" borderId="177" xfId="1" quotePrefix="1" applyFont="1" applyFill="1" applyBorder="1" applyAlignment="1">
      <alignment vertical="center" wrapText="1"/>
    </xf>
    <xf numFmtId="41" fontId="49" fillId="0" borderId="196" xfId="1" applyFont="1" applyFill="1" applyBorder="1" applyAlignment="1">
      <alignment vertical="center" wrapText="1"/>
    </xf>
    <xf numFmtId="10" fontId="51" fillId="0" borderId="177" xfId="1" applyNumberFormat="1" applyFont="1" applyFill="1" applyBorder="1" applyAlignment="1">
      <alignment horizontal="center" vertical="center" wrapText="1"/>
    </xf>
    <xf numFmtId="41" fontId="49" fillId="0" borderId="1" xfId="1" applyFont="1" applyFill="1" applyBorder="1" applyAlignment="1">
      <alignment horizontal="center" vertical="center" wrapText="1"/>
    </xf>
    <xf numFmtId="41" fontId="49" fillId="0" borderId="169" xfId="1" quotePrefix="1" applyFont="1" applyFill="1" applyBorder="1" applyAlignment="1">
      <alignment vertical="center" wrapText="1"/>
    </xf>
    <xf numFmtId="41" fontId="49" fillId="0" borderId="140" xfId="1" applyFont="1" applyFill="1" applyBorder="1" applyAlignment="1">
      <alignment vertical="center" wrapText="1"/>
    </xf>
    <xf numFmtId="10" fontId="49" fillId="0" borderId="169" xfId="1" applyNumberFormat="1" applyFont="1" applyFill="1" applyBorder="1" applyAlignment="1">
      <alignment horizontal="center" vertical="center" wrapText="1"/>
    </xf>
    <xf numFmtId="41" fontId="49" fillId="0" borderId="50" xfId="1" applyFont="1" applyFill="1" applyBorder="1" applyAlignment="1">
      <alignment vertical="center" wrapText="1"/>
    </xf>
    <xf numFmtId="41" fontId="49" fillId="0" borderId="0" xfId="1" applyFont="1" applyFill="1" applyBorder="1" applyAlignment="1">
      <alignment horizontal="right" vertical="center" wrapText="1"/>
    </xf>
    <xf numFmtId="41" fontId="49" fillId="0" borderId="0" xfId="1" applyFont="1" applyFill="1" applyBorder="1" applyAlignment="1">
      <alignment horizontal="left" vertical="center" wrapText="1"/>
    </xf>
    <xf numFmtId="41" fontId="49" fillId="0" borderId="21" xfId="1" applyFont="1" applyFill="1" applyBorder="1" applyAlignment="1">
      <alignment vertical="center" wrapText="1"/>
    </xf>
    <xf numFmtId="41" fontId="49" fillId="0" borderId="0" xfId="1" applyFont="1" applyFill="1" applyBorder="1" applyAlignment="1">
      <alignment horizontal="center" vertical="center" wrapText="1"/>
    </xf>
    <xf numFmtId="41" fontId="49" fillId="0" borderId="37" xfId="1" applyFont="1" applyFill="1" applyBorder="1" applyAlignment="1">
      <alignment horizontal="center" vertical="center" wrapText="1"/>
    </xf>
    <xf numFmtId="41" fontId="49" fillId="0" borderId="162" xfId="1" applyFont="1" applyFill="1" applyBorder="1" applyAlignment="1">
      <alignment horizontal="left" vertical="center" wrapText="1"/>
    </xf>
    <xf numFmtId="41" fontId="49" fillId="0" borderId="111" xfId="1" applyFont="1" applyFill="1" applyBorder="1" applyAlignment="1">
      <alignment horizontal="right" vertical="center" wrapText="1"/>
    </xf>
    <xf numFmtId="0" fontId="49" fillId="0" borderId="113" xfId="1" applyNumberFormat="1" applyFont="1" applyFill="1" applyBorder="1" applyAlignment="1">
      <alignment horizontal="center" vertical="center" wrapText="1"/>
    </xf>
    <xf numFmtId="41" fontId="49" fillId="0" borderId="146" xfId="1" applyFont="1" applyFill="1" applyBorder="1" applyAlignment="1">
      <alignment horizontal="center" vertical="center"/>
    </xf>
    <xf numFmtId="41" fontId="49" fillId="0" borderId="185" xfId="1" applyFont="1" applyFill="1" applyBorder="1" applyAlignment="1">
      <alignment horizontal="right" vertical="center" wrapText="1"/>
    </xf>
    <xf numFmtId="0" fontId="49" fillId="0" borderId="186" xfId="1" applyNumberFormat="1" applyFont="1" applyFill="1" applyBorder="1" applyAlignment="1">
      <alignment horizontal="center" vertical="center" wrapText="1"/>
    </xf>
    <xf numFmtId="41" fontId="49" fillId="0" borderId="171" xfId="1" applyFont="1" applyFill="1" applyBorder="1" applyAlignment="1">
      <alignment horizontal="center" vertical="center"/>
    </xf>
    <xf numFmtId="41" fontId="49" fillId="0" borderId="135" xfId="1" applyFont="1" applyFill="1" applyBorder="1" applyAlignment="1">
      <alignment horizontal="right" vertical="center" wrapText="1"/>
    </xf>
    <xf numFmtId="0" fontId="49" fillId="0" borderId="161" xfId="1" applyNumberFormat="1" applyFont="1" applyFill="1" applyBorder="1" applyAlignment="1">
      <alignment horizontal="center" vertical="center" wrapText="1"/>
    </xf>
    <xf numFmtId="41" fontId="49" fillId="0" borderId="173" xfId="1" applyFont="1" applyFill="1" applyBorder="1" applyAlignment="1">
      <alignment horizontal="right" vertical="center" wrapText="1"/>
    </xf>
    <xf numFmtId="0" fontId="49" fillId="0" borderId="174" xfId="1" applyNumberFormat="1" applyFont="1" applyFill="1" applyBorder="1" applyAlignment="1">
      <alignment horizontal="center" vertical="center" wrapText="1"/>
    </xf>
    <xf numFmtId="41" fontId="49" fillId="0" borderId="164" xfId="1" applyFont="1" applyFill="1" applyBorder="1" applyAlignment="1">
      <alignment vertical="center" wrapText="1"/>
    </xf>
    <xf numFmtId="41" fontId="49" fillId="0" borderId="137" xfId="1" applyFont="1" applyFill="1" applyBorder="1" applyAlignment="1">
      <alignment horizontal="right" vertical="center" wrapText="1"/>
    </xf>
    <xf numFmtId="0" fontId="49" fillId="0" borderId="170" xfId="1" applyNumberFormat="1" applyFont="1" applyFill="1" applyBorder="1" applyAlignment="1">
      <alignment horizontal="center" vertical="center" wrapText="1"/>
    </xf>
    <xf numFmtId="41" fontId="49" fillId="0" borderId="36" xfId="1" applyFont="1" applyFill="1" applyBorder="1" applyAlignment="1">
      <alignment horizontal="center" vertical="center"/>
    </xf>
    <xf numFmtId="41" fontId="49" fillId="0" borderId="177" xfId="1" applyFont="1" applyFill="1" applyBorder="1" applyAlignment="1">
      <alignment horizontal="right" vertical="center" wrapText="1"/>
    </xf>
    <xf numFmtId="0" fontId="49" fillId="0" borderId="181" xfId="1" applyNumberFormat="1" applyFont="1" applyFill="1" applyBorder="1" applyAlignment="1">
      <alignment horizontal="center" vertical="center" wrapText="1"/>
    </xf>
    <xf numFmtId="41" fontId="49" fillId="0" borderId="92" xfId="1" applyFont="1" applyFill="1" applyBorder="1" applyAlignment="1">
      <alignment horizontal="center" vertical="center"/>
    </xf>
    <xf numFmtId="41" fontId="49" fillId="0" borderId="179" xfId="1" applyFont="1" applyFill="1" applyBorder="1" applyAlignment="1">
      <alignment horizontal="center" vertical="center"/>
    </xf>
    <xf numFmtId="41" fontId="49" fillId="0" borderId="131" xfId="1" applyFont="1" applyFill="1" applyBorder="1" applyAlignment="1">
      <alignment horizontal="right" vertical="center" wrapText="1"/>
    </xf>
    <xf numFmtId="0" fontId="49" fillId="0" borderId="134" xfId="1" applyNumberFormat="1" applyFont="1" applyFill="1" applyBorder="1" applyAlignment="1">
      <alignment horizontal="center" vertical="center" wrapText="1"/>
    </xf>
    <xf numFmtId="41" fontId="49" fillId="0" borderId="152" xfId="1" applyFont="1" applyFill="1" applyBorder="1" applyAlignment="1">
      <alignment horizontal="center" vertical="center"/>
    </xf>
    <xf numFmtId="41" fontId="49" fillId="0" borderId="176" xfId="1" applyFont="1" applyFill="1" applyBorder="1" applyAlignment="1">
      <alignment horizontal="right" vertical="center" wrapText="1"/>
    </xf>
    <xf numFmtId="0" fontId="49" fillId="0" borderId="178" xfId="1" applyNumberFormat="1" applyFont="1" applyFill="1" applyBorder="1" applyAlignment="1">
      <alignment horizontal="center" vertical="center" wrapText="1"/>
    </xf>
    <xf numFmtId="41" fontId="49" fillId="0" borderId="188" xfId="1" applyFont="1" applyFill="1" applyBorder="1" applyAlignment="1">
      <alignment horizontal="center" vertical="center"/>
    </xf>
    <xf numFmtId="3" fontId="49" fillId="0" borderId="186" xfId="1" quotePrefix="1" applyNumberFormat="1" applyFont="1" applyFill="1" applyBorder="1" applyAlignment="1">
      <alignment horizontal="center" vertical="center" wrapText="1"/>
    </xf>
    <xf numFmtId="41" fontId="49" fillId="0" borderId="17" xfId="1" applyFont="1" applyFill="1" applyBorder="1" applyAlignment="1">
      <alignment horizontal="center" vertical="center" wrapText="1"/>
    </xf>
    <xf numFmtId="41" fontId="50" fillId="0" borderId="31" xfId="1" applyFont="1" applyFill="1" applyBorder="1" applyAlignment="1">
      <alignment horizontal="center" vertical="center" wrapText="1"/>
    </xf>
    <xf numFmtId="41" fontId="49" fillId="0" borderId="135" xfId="1" applyFont="1" applyFill="1" applyBorder="1" applyAlignment="1">
      <alignment horizontal="left" vertical="center" wrapText="1"/>
    </xf>
    <xf numFmtId="41" fontId="49" fillId="0" borderId="159" xfId="1" applyFont="1" applyFill="1" applyBorder="1" applyAlignment="1">
      <alignment horizontal="center" vertical="center" wrapText="1"/>
    </xf>
    <xf numFmtId="41" fontId="49" fillId="0" borderId="115" xfId="1" applyFont="1" applyFill="1" applyBorder="1" applyAlignment="1">
      <alignment horizontal="right" vertical="center" wrapText="1"/>
    </xf>
    <xf numFmtId="0" fontId="49" fillId="0" borderId="163" xfId="1" applyNumberFormat="1" applyFont="1" applyFill="1" applyBorder="1" applyAlignment="1">
      <alignment horizontal="center" vertical="center" wrapText="1"/>
    </xf>
    <xf numFmtId="41" fontId="49" fillId="0" borderId="157" xfId="1" applyFont="1" applyFill="1" applyBorder="1" applyAlignment="1">
      <alignment horizontal="center" vertical="center"/>
    </xf>
    <xf numFmtId="41" fontId="49" fillId="0" borderId="219" xfId="1" applyFont="1" applyFill="1" applyBorder="1" applyAlignment="1">
      <alignment horizontal="center" vertical="center" wrapText="1"/>
    </xf>
    <xf numFmtId="41" fontId="50" fillId="0" borderId="17" xfId="1" applyFont="1" applyFill="1" applyBorder="1" applyAlignment="1">
      <alignment horizontal="center" vertical="center" wrapText="1"/>
    </xf>
    <xf numFmtId="41" fontId="49" fillId="0" borderId="92" xfId="1" applyFont="1" applyFill="1" applyBorder="1" applyAlignment="1">
      <alignment vertical="center" wrapText="1"/>
    </xf>
    <xf numFmtId="41" fontId="50" fillId="0" borderId="114" xfId="1" applyFont="1" applyFill="1" applyBorder="1" applyAlignment="1">
      <alignment vertical="center" wrapText="1"/>
    </xf>
    <xf numFmtId="41" fontId="49" fillId="0" borderId="114" xfId="1" applyFont="1" applyFill="1" applyBorder="1" applyAlignment="1">
      <alignment vertical="center" wrapText="1"/>
    </xf>
    <xf numFmtId="41" fontId="49" fillId="0" borderId="154" xfId="1" applyFont="1" applyFill="1" applyBorder="1" applyAlignment="1">
      <alignment vertical="center" wrapText="1"/>
    </xf>
    <xf numFmtId="41" fontId="49" fillId="0" borderId="155" xfId="1" applyFont="1" applyFill="1" applyBorder="1" applyAlignment="1">
      <alignment horizontal="right" vertical="center" wrapText="1"/>
    </xf>
    <xf numFmtId="41" fontId="49" fillId="0" borderId="156" xfId="1" applyFont="1" applyFill="1" applyBorder="1" applyAlignment="1">
      <alignment horizontal="center" vertical="center" wrapText="1"/>
    </xf>
    <xf numFmtId="41" fontId="49" fillId="0" borderId="147" xfId="1" applyFont="1" applyFill="1" applyBorder="1" applyAlignment="1">
      <alignment vertical="center"/>
    </xf>
    <xf numFmtId="41" fontId="50" fillId="0" borderId="20" xfId="1" applyFont="1" applyFill="1" applyBorder="1" applyAlignment="1">
      <alignment vertical="center" wrapText="1"/>
    </xf>
    <xf numFmtId="41" fontId="49" fillId="0" borderId="21" xfId="1" applyFont="1" applyFill="1" applyBorder="1" applyAlignment="1">
      <alignment horizontal="right" vertical="center" wrapText="1"/>
    </xf>
    <xf numFmtId="41" fontId="50" fillId="0" borderId="6" xfId="1" applyFont="1" applyFill="1" applyBorder="1" applyAlignment="1">
      <alignment horizontal="center" vertical="center" wrapText="1"/>
    </xf>
    <xf numFmtId="41" fontId="50" fillId="0" borderId="24" xfId="1" applyFont="1" applyFill="1" applyBorder="1" applyAlignment="1">
      <alignment vertical="center"/>
    </xf>
    <xf numFmtId="41" fontId="49" fillId="0" borderId="152" xfId="1" applyFont="1" applyFill="1" applyBorder="1" applyAlignment="1">
      <alignment vertical="center"/>
    </xf>
    <xf numFmtId="41" fontId="36" fillId="0" borderId="163" xfId="1" applyFont="1" applyFill="1" applyBorder="1" applyAlignment="1">
      <alignment horizontal="center" vertical="center"/>
    </xf>
    <xf numFmtId="41" fontId="50" fillId="0" borderId="165" xfId="1" applyFont="1" applyFill="1" applyBorder="1" applyAlignment="1">
      <alignment horizontal="left" vertical="center" wrapText="1"/>
    </xf>
    <xf numFmtId="41" fontId="49" fillId="0" borderId="166" xfId="1" applyFont="1" applyFill="1" applyBorder="1" applyAlignment="1">
      <alignment horizontal="right" vertical="center" wrapText="1"/>
    </xf>
    <xf numFmtId="41" fontId="49" fillId="0" borderId="166" xfId="1" applyFont="1" applyFill="1" applyBorder="1" applyAlignment="1">
      <alignment vertical="center" wrapText="1"/>
    </xf>
    <xf numFmtId="41" fontId="49" fillId="0" borderId="166" xfId="1" applyFont="1" applyFill="1" applyBorder="1" applyAlignment="1">
      <alignment horizontal="center" vertical="center" wrapText="1"/>
    </xf>
    <xf numFmtId="41" fontId="36" fillId="0" borderId="167" xfId="1" applyFont="1" applyFill="1" applyBorder="1" applyAlignment="1">
      <alignment horizontal="center" vertical="center"/>
    </xf>
    <xf numFmtId="41" fontId="50" fillId="0" borderId="31" xfId="1" applyFont="1" applyFill="1" applyBorder="1" applyAlignment="1">
      <alignment vertical="center"/>
    </xf>
    <xf numFmtId="41" fontId="50" fillId="0" borderId="160" xfId="1" applyFont="1" applyFill="1" applyBorder="1" applyAlignment="1">
      <alignment horizontal="left" vertical="center" wrapText="1"/>
    </xf>
    <xf numFmtId="41" fontId="50" fillId="0" borderId="135" xfId="1" applyFont="1" applyFill="1" applyBorder="1" applyAlignment="1">
      <alignment horizontal="right" vertical="center" wrapText="1"/>
    </xf>
    <xf numFmtId="41" fontId="36" fillId="0" borderId="161" xfId="1" applyFont="1" applyFill="1" applyBorder="1" applyAlignment="1">
      <alignment horizontal="center" vertical="center"/>
    </xf>
    <xf numFmtId="41" fontId="36" fillId="0" borderId="170" xfId="1" applyFont="1" applyFill="1" applyBorder="1" applyAlignment="1">
      <alignment horizontal="center" vertical="center"/>
    </xf>
    <xf numFmtId="41" fontId="49" fillId="0" borderId="136" xfId="1" applyFont="1" applyFill="1" applyBorder="1" applyAlignment="1">
      <alignment horizontal="left" vertical="center" wrapText="1"/>
    </xf>
    <xf numFmtId="41" fontId="36" fillId="0" borderId="134" xfId="1" applyFont="1" applyFill="1" applyBorder="1" applyAlignment="1">
      <alignment horizontal="center" vertical="center"/>
    </xf>
    <xf numFmtId="41" fontId="49" fillId="0" borderId="153" xfId="1" applyFont="1" applyFill="1" applyBorder="1" applyAlignment="1">
      <alignment horizontal="left" vertical="center" wrapText="1"/>
    </xf>
    <xf numFmtId="41" fontId="36" fillId="0" borderId="113" xfId="1" applyFont="1" applyFill="1" applyBorder="1" applyAlignment="1">
      <alignment horizontal="center" vertical="center"/>
    </xf>
    <xf numFmtId="41" fontId="49" fillId="0" borderId="168" xfId="1" applyFont="1" applyFill="1" applyBorder="1" applyAlignment="1">
      <alignment horizontal="left" vertical="center" wrapText="1"/>
    </xf>
    <xf numFmtId="41" fontId="49" fillId="0" borderId="169" xfId="1" applyFont="1" applyFill="1" applyBorder="1" applyAlignment="1">
      <alignment horizontal="right" vertical="center" wrapText="1"/>
    </xf>
    <xf numFmtId="41" fontId="36" fillId="0" borderId="189" xfId="1" applyFont="1" applyFill="1" applyBorder="1" applyAlignment="1">
      <alignment horizontal="center" vertical="center"/>
    </xf>
    <xf numFmtId="41" fontId="49" fillId="0" borderId="165" xfId="1" applyFont="1" applyFill="1" applyBorder="1" applyAlignment="1">
      <alignment horizontal="left" vertical="center" wrapText="1"/>
    </xf>
    <xf numFmtId="41" fontId="49" fillId="0" borderId="25" xfId="1" applyFont="1" applyFill="1" applyBorder="1" applyAlignment="1">
      <alignment vertical="center" wrapText="1"/>
    </xf>
    <xf numFmtId="41" fontId="49" fillId="0" borderId="17" xfId="1" applyFont="1" applyFill="1" applyBorder="1" applyAlignment="1">
      <alignment horizontal="right" vertical="center" wrapText="1"/>
    </xf>
    <xf numFmtId="41" fontId="49" fillId="0" borderId="17" xfId="1" applyFont="1" applyFill="1" applyBorder="1" applyAlignment="1">
      <alignment vertical="center" wrapText="1"/>
    </xf>
    <xf numFmtId="41" fontId="49" fillId="0" borderId="201" xfId="1" applyFont="1" applyFill="1" applyBorder="1" applyAlignment="1">
      <alignment horizontal="right" vertical="center" wrapText="1"/>
    </xf>
    <xf numFmtId="0" fontId="49" fillId="0" borderId="202" xfId="1" applyNumberFormat="1" applyFont="1" applyFill="1" applyBorder="1" applyAlignment="1">
      <alignment horizontal="center" vertical="center" wrapText="1"/>
    </xf>
    <xf numFmtId="41" fontId="49" fillId="0" borderId="35" xfId="1" applyFont="1" applyFill="1" applyBorder="1" applyAlignment="1">
      <alignment vertical="center"/>
    </xf>
    <xf numFmtId="41" fontId="49" fillId="0" borderId="0" xfId="1" applyFont="1" applyFill="1" applyBorder="1" applyAlignment="1">
      <alignment vertical="center" wrapText="1"/>
    </xf>
    <xf numFmtId="41" fontId="49" fillId="0" borderId="37" xfId="1" applyFont="1" applyFill="1" applyBorder="1" applyAlignment="1">
      <alignment vertical="center"/>
    </xf>
    <xf numFmtId="12" fontId="49" fillId="0" borderId="137" xfId="1" quotePrefix="1" applyNumberFormat="1" applyFont="1" applyFill="1" applyBorder="1" applyAlignment="1">
      <alignment horizontal="center" vertical="center" wrapText="1"/>
    </xf>
    <xf numFmtId="41" fontId="49" fillId="0" borderId="200" xfId="1" applyFont="1" applyFill="1" applyBorder="1" applyAlignment="1">
      <alignment horizontal="left" vertical="center" wrapText="1"/>
    </xf>
    <xf numFmtId="12" fontId="49" fillId="0" borderId="201" xfId="1" quotePrefix="1" applyNumberFormat="1" applyFont="1" applyFill="1" applyBorder="1" applyAlignment="1">
      <alignment horizontal="center" vertical="center" wrapText="1"/>
    </xf>
    <xf numFmtId="12" fontId="49" fillId="0" borderId="185" xfId="1" quotePrefix="1" applyNumberFormat="1" applyFont="1" applyFill="1" applyBorder="1" applyAlignment="1">
      <alignment horizontal="center" vertical="center" wrapText="1"/>
    </xf>
    <xf numFmtId="41" fontId="50" fillId="0" borderId="34" xfId="1" applyFont="1" applyFill="1" applyBorder="1" applyAlignment="1">
      <alignment vertical="center"/>
    </xf>
    <xf numFmtId="41" fontId="49" fillId="0" borderId="21" xfId="1" applyFont="1" applyFill="1" applyBorder="1" applyAlignment="1">
      <alignment horizontal="center" vertical="center"/>
    </xf>
    <xf numFmtId="41" fontId="49" fillId="0" borderId="6" xfId="1" applyFont="1" applyFill="1" applyBorder="1" applyAlignment="1">
      <alignment horizontal="center" vertical="center"/>
    </xf>
    <xf numFmtId="41" fontId="50" fillId="0" borderId="70" xfId="1" applyFont="1" applyFill="1" applyBorder="1" applyAlignment="1">
      <alignment vertical="center"/>
    </xf>
    <xf numFmtId="41" fontId="49" fillId="0" borderId="85" xfId="1" applyFont="1" applyFill="1" applyBorder="1" applyAlignment="1">
      <alignment horizontal="left" vertical="center" wrapText="1"/>
    </xf>
    <xf numFmtId="0" fontId="49" fillId="0" borderId="84" xfId="1" applyNumberFormat="1" applyFont="1" applyFill="1" applyBorder="1" applyAlignment="1">
      <alignment horizontal="center" vertical="center" wrapText="1"/>
    </xf>
    <xf numFmtId="41" fontId="49" fillId="0" borderId="84" xfId="1" applyFont="1" applyFill="1" applyBorder="1" applyAlignment="1">
      <alignment horizontal="center" vertical="center"/>
    </xf>
    <xf numFmtId="41" fontId="49" fillId="0" borderId="26" xfId="1" applyFont="1" applyFill="1" applyBorder="1" applyAlignment="1">
      <alignment horizontal="left" vertical="center" wrapText="1"/>
    </xf>
    <xf numFmtId="41" fontId="49" fillId="0" borderId="219" xfId="1" applyFont="1" applyFill="1" applyBorder="1" applyAlignment="1">
      <alignment horizontal="center" vertical="center"/>
    </xf>
    <xf numFmtId="12" fontId="49" fillId="0" borderId="1" xfId="1" quotePrefix="1" applyNumberFormat="1" applyFont="1" applyFill="1" applyBorder="1" applyAlignment="1">
      <alignment horizontal="center" vertical="center" wrapText="1"/>
    </xf>
    <xf numFmtId="41" fontId="49" fillId="0" borderId="218" xfId="1" applyFont="1" applyFill="1" applyBorder="1" applyAlignment="1">
      <alignment horizontal="center" vertical="center" wrapText="1"/>
    </xf>
    <xf numFmtId="0" fontId="49" fillId="0" borderId="16" xfId="1" applyNumberFormat="1" applyFont="1" applyFill="1" applyBorder="1" applyAlignment="1">
      <alignment horizontal="center" vertical="center" wrapText="1"/>
    </xf>
    <xf numFmtId="41" fontId="49" fillId="0" borderId="16" xfId="1" applyFont="1" applyFill="1" applyBorder="1" applyAlignment="1">
      <alignment horizontal="center" vertical="center"/>
    </xf>
    <xf numFmtId="41" fontId="50" fillId="0" borderId="50" xfId="1" applyFont="1" applyFill="1" applyBorder="1" applyAlignment="1">
      <alignment vertical="center"/>
    </xf>
    <xf numFmtId="41" fontId="50" fillId="0" borderId="0" xfId="1" applyFont="1" applyFill="1" applyBorder="1" applyAlignment="1">
      <alignment horizontal="right" vertical="center"/>
    </xf>
    <xf numFmtId="41" fontId="50" fillId="0" borderId="0" xfId="1" applyFont="1" applyFill="1" applyBorder="1" applyAlignment="1">
      <alignment vertical="center"/>
    </xf>
    <xf numFmtId="41" fontId="49" fillId="0" borderId="0" xfId="1" applyFont="1" applyFill="1" applyBorder="1" applyAlignment="1">
      <alignment horizontal="center" vertical="center"/>
    </xf>
    <xf numFmtId="41" fontId="49" fillId="0" borderId="37" xfId="1" applyFont="1" applyFill="1" applyBorder="1" applyAlignment="1">
      <alignment horizontal="center" vertical="center"/>
    </xf>
    <xf numFmtId="41" fontId="50" fillId="0" borderId="153" xfId="1" applyFont="1" applyFill="1" applyBorder="1" applyAlignment="1">
      <alignment vertical="center"/>
    </xf>
    <xf numFmtId="41" fontId="50" fillId="0" borderId="111" xfId="1" applyFont="1" applyFill="1" applyBorder="1" applyAlignment="1">
      <alignment horizontal="right" vertical="center"/>
    </xf>
    <xf numFmtId="41" fontId="50" fillId="0" borderId="191" xfId="1" applyFont="1" applyFill="1" applyBorder="1" applyAlignment="1">
      <alignment vertical="center"/>
    </xf>
    <xf numFmtId="41" fontId="49" fillId="0" borderId="164" xfId="1" applyFont="1" applyFill="1" applyBorder="1" applyAlignment="1">
      <alignment vertical="center"/>
    </xf>
    <xf numFmtId="41" fontId="49" fillId="0" borderId="137" xfId="1" applyFont="1" applyFill="1" applyBorder="1" applyAlignment="1">
      <alignment horizontal="right" vertical="center"/>
    </xf>
    <xf numFmtId="41" fontId="49" fillId="0" borderId="137" xfId="1" applyFont="1" applyFill="1" applyBorder="1" applyAlignment="1">
      <alignment horizontal="center" vertical="center"/>
    </xf>
    <xf numFmtId="41" fontId="49" fillId="0" borderId="170" xfId="1" applyFont="1" applyFill="1" applyBorder="1" applyAlignment="1">
      <alignment horizontal="center" vertical="center"/>
    </xf>
    <xf numFmtId="41" fontId="49" fillId="0" borderId="154" xfId="1" applyFont="1" applyFill="1" applyBorder="1" applyAlignment="1">
      <alignment vertical="center"/>
    </xf>
    <xf numFmtId="41" fontId="49" fillId="0" borderId="155" xfId="1" applyFont="1" applyFill="1" applyBorder="1" applyAlignment="1">
      <alignment horizontal="right" vertical="center"/>
    </xf>
    <xf numFmtId="41" fontId="49" fillId="0" borderId="31" xfId="1" applyFont="1" applyFill="1" applyBorder="1" applyAlignment="1">
      <alignment horizontal="center" vertical="center"/>
    </xf>
    <xf numFmtId="41" fontId="50" fillId="0" borderId="136" xfId="1" applyFont="1" applyFill="1" applyBorder="1" applyAlignment="1">
      <alignment horizontal="left" vertical="center"/>
    </xf>
    <xf numFmtId="41" fontId="49" fillId="0" borderId="111" xfId="1" applyFont="1" applyFill="1" applyBorder="1" applyAlignment="1">
      <alignment vertical="center"/>
    </xf>
    <xf numFmtId="41" fontId="49" fillId="0" borderId="175" xfId="1" applyFont="1" applyFill="1" applyBorder="1" applyAlignment="1">
      <alignment horizontal="left" vertical="center"/>
    </xf>
    <xf numFmtId="41" fontId="49" fillId="0" borderId="155" xfId="1" applyFont="1" applyFill="1" applyBorder="1" applyAlignment="1">
      <alignment vertical="center"/>
    </xf>
    <xf numFmtId="41" fontId="50" fillId="0" borderId="110" xfId="1" applyFont="1" applyFill="1" applyBorder="1" applyAlignment="1">
      <alignment vertical="center"/>
    </xf>
    <xf numFmtId="41" fontId="50" fillId="0" borderId="190" xfId="1" applyFont="1" applyFill="1" applyBorder="1" applyAlignment="1">
      <alignment horizontal="right" vertical="center"/>
    </xf>
    <xf numFmtId="41" fontId="50" fillId="0" borderId="111" xfId="1" applyFont="1" applyFill="1" applyBorder="1" applyAlignment="1">
      <alignment vertical="center"/>
    </xf>
    <xf numFmtId="41" fontId="50" fillId="0" borderId="191" xfId="1" applyFont="1" applyFill="1" applyBorder="1" applyAlignment="1">
      <alignment horizontal="center" vertical="center"/>
    </xf>
    <xf numFmtId="41" fontId="49" fillId="0" borderId="39" xfId="1" applyFont="1" applyFill="1" applyBorder="1" applyAlignment="1">
      <alignment horizontal="left" vertical="center"/>
    </xf>
    <xf numFmtId="41" fontId="49" fillId="0" borderId="131" xfId="1" applyFont="1" applyFill="1" applyBorder="1" applyAlignment="1">
      <alignment vertical="center"/>
    </xf>
    <xf numFmtId="41" fontId="49" fillId="0" borderId="158" xfId="1" applyFont="1" applyFill="1" applyBorder="1" applyAlignment="1">
      <alignment vertical="center" wrapText="1"/>
    </xf>
    <xf numFmtId="41" fontId="49" fillId="0" borderId="55" xfId="1" applyFont="1" applyFill="1" applyBorder="1" applyAlignment="1">
      <alignment horizontal="left" vertical="center"/>
    </xf>
    <xf numFmtId="41" fontId="49" fillId="0" borderId="176" xfId="1" applyFont="1" applyFill="1" applyBorder="1" applyAlignment="1">
      <alignment vertical="center"/>
    </xf>
    <xf numFmtId="41" fontId="49" fillId="0" borderId="115" xfId="1" applyFont="1" applyFill="1" applyBorder="1" applyAlignment="1">
      <alignment horizontal="left" vertical="center" wrapText="1"/>
    </xf>
    <xf numFmtId="41" fontId="50" fillId="0" borderId="205" xfId="1" applyFont="1" applyFill="1" applyBorder="1" applyAlignment="1">
      <alignment horizontal="left" vertical="center"/>
    </xf>
    <xf numFmtId="41" fontId="49" fillId="0" borderId="173" xfId="1" applyFont="1" applyFill="1" applyBorder="1" applyAlignment="1">
      <alignment horizontal="center" vertical="center"/>
    </xf>
    <xf numFmtId="41" fontId="50" fillId="0" borderId="173" xfId="1" applyFont="1" applyFill="1" applyBorder="1" applyAlignment="1">
      <alignment horizontal="center" vertical="center"/>
    </xf>
    <xf numFmtId="41" fontId="50" fillId="0" borderId="179" xfId="1" applyFont="1" applyFill="1" applyBorder="1" applyAlignment="1">
      <alignment horizontal="center" vertical="center"/>
    </xf>
    <xf numFmtId="41" fontId="49" fillId="0" borderId="158" xfId="1" applyFont="1" applyFill="1" applyBorder="1" applyAlignment="1">
      <alignment horizontal="left" vertical="center"/>
    </xf>
    <xf numFmtId="41" fontId="49" fillId="0" borderId="131" xfId="1" applyFont="1" applyFill="1" applyBorder="1" applyAlignment="1">
      <alignment horizontal="right" vertical="center"/>
    </xf>
    <xf numFmtId="41" fontId="49" fillId="0" borderId="159" xfId="1" applyFont="1" applyFill="1" applyBorder="1" applyAlignment="1">
      <alignment horizontal="left" vertical="center" wrapText="1"/>
    </xf>
    <xf numFmtId="41" fontId="49" fillId="0" borderId="213" xfId="1" applyFont="1" applyFill="1" applyBorder="1" applyAlignment="1">
      <alignment horizontal="left" vertical="center"/>
    </xf>
    <xf numFmtId="41" fontId="49" fillId="0" borderId="177" xfId="1" applyFont="1" applyFill="1" applyBorder="1" applyAlignment="1">
      <alignment horizontal="right" vertical="center"/>
    </xf>
    <xf numFmtId="41" fontId="49" fillId="0" borderId="177" xfId="1" applyFont="1" applyFill="1" applyBorder="1" applyAlignment="1">
      <alignment horizontal="center" vertical="center"/>
    </xf>
    <xf numFmtId="41" fontId="49" fillId="0" borderId="159" xfId="1" applyFont="1" applyFill="1" applyBorder="1" applyAlignment="1">
      <alignment horizontal="left" vertical="center"/>
    </xf>
    <xf numFmtId="41" fontId="50" fillId="0" borderId="172" xfId="1" applyFont="1" applyFill="1" applyBorder="1" applyAlignment="1">
      <alignment horizontal="left" vertical="center"/>
    </xf>
    <xf numFmtId="41" fontId="50" fillId="0" borderId="173" xfId="1" applyFont="1" applyFill="1" applyBorder="1" applyAlignment="1">
      <alignment horizontal="right" vertical="center" wrapText="1"/>
    </xf>
    <xf numFmtId="41" fontId="49" fillId="0" borderId="216" xfId="1" applyFont="1" applyFill="1" applyBorder="1" applyAlignment="1">
      <alignment horizontal="left" vertical="center"/>
    </xf>
    <xf numFmtId="41" fontId="49" fillId="0" borderId="136" xfId="1" applyFont="1" applyFill="1" applyBorder="1" applyAlignment="1">
      <alignment horizontal="left" vertical="center"/>
    </xf>
    <xf numFmtId="41" fontId="49" fillId="0" borderId="130" xfId="1" applyFont="1" applyFill="1" applyBorder="1" applyAlignment="1">
      <alignment horizontal="left" vertical="center"/>
    </xf>
    <xf numFmtId="41" fontId="49" fillId="0" borderId="134" xfId="1" applyFont="1" applyFill="1" applyBorder="1" applyAlignment="1">
      <alignment horizontal="center" vertical="center"/>
    </xf>
    <xf numFmtId="41" fontId="50" fillId="0" borderId="212" xfId="1" applyFont="1" applyFill="1" applyBorder="1" applyAlignment="1">
      <alignment horizontal="left" vertical="center"/>
    </xf>
    <xf numFmtId="41" fontId="49" fillId="0" borderId="206" xfId="1" applyFont="1" applyFill="1" applyBorder="1" applyAlignment="1">
      <alignment horizontal="left" vertical="center"/>
    </xf>
    <xf numFmtId="41" fontId="49" fillId="0" borderId="178" xfId="1" applyFont="1" applyFill="1" applyBorder="1" applyAlignment="1">
      <alignment horizontal="center" vertical="center"/>
    </xf>
    <xf numFmtId="41" fontId="50" fillId="0" borderId="158" xfId="1" applyFont="1" applyFill="1" applyBorder="1" applyAlignment="1">
      <alignment horizontal="left" vertical="center"/>
    </xf>
    <xf numFmtId="41" fontId="49" fillId="0" borderId="161" xfId="1" applyFont="1" applyFill="1" applyBorder="1" applyAlignment="1">
      <alignment vertical="center"/>
    </xf>
    <xf numFmtId="41" fontId="49" fillId="0" borderId="163" xfId="1" applyFont="1" applyFill="1" applyBorder="1" applyAlignment="1">
      <alignment horizontal="center" vertical="center"/>
    </xf>
    <xf numFmtId="41" fontId="49" fillId="0" borderId="136" xfId="1" applyFont="1" applyFill="1" applyBorder="1" applyAlignment="1">
      <alignment horizontal="center" vertical="center"/>
    </xf>
    <xf numFmtId="41" fontId="49" fillId="0" borderId="181" xfId="1" applyFont="1" applyFill="1" applyBorder="1" applyAlignment="1">
      <alignment horizontal="center" vertical="center"/>
    </xf>
    <xf numFmtId="41" fontId="49" fillId="0" borderId="131" xfId="1" applyFont="1" applyFill="1" applyBorder="1" applyAlignment="1">
      <alignment horizontal="left" vertical="center"/>
    </xf>
    <xf numFmtId="41" fontId="49" fillId="0" borderId="211" xfId="1" applyFont="1" applyFill="1" applyBorder="1" applyAlignment="1">
      <alignment horizontal="left" vertical="center"/>
    </xf>
    <xf numFmtId="41" fontId="49" fillId="0" borderId="131" xfId="1" applyFont="1" applyFill="1" applyBorder="1" applyAlignment="1">
      <alignment horizontal="center" vertical="center"/>
    </xf>
    <xf numFmtId="41" fontId="49" fillId="0" borderId="115" xfId="1" applyFont="1" applyFill="1" applyBorder="1" applyAlignment="1">
      <alignment horizontal="left" vertical="center"/>
    </xf>
    <xf numFmtId="41" fontId="49" fillId="0" borderId="176" xfId="1" applyFont="1" applyFill="1" applyBorder="1" applyAlignment="1">
      <alignment horizontal="left" vertical="center"/>
    </xf>
    <xf numFmtId="41" fontId="50" fillId="0" borderId="216" xfId="1" applyFont="1" applyFill="1" applyBorder="1" applyAlignment="1">
      <alignment horizontal="left" vertical="center"/>
    </xf>
    <xf numFmtId="41" fontId="50" fillId="0" borderId="137" xfId="1" applyFont="1" applyFill="1" applyBorder="1" applyAlignment="1">
      <alignment horizontal="right" vertical="center" wrapText="1"/>
    </xf>
    <xf numFmtId="41" fontId="49" fillId="0" borderId="137" xfId="1" applyFont="1" applyFill="1" applyBorder="1" applyAlignment="1">
      <alignment horizontal="left" vertical="center"/>
    </xf>
    <xf numFmtId="41" fontId="50" fillId="0" borderId="146" xfId="1" applyFont="1" applyFill="1" applyBorder="1" applyAlignment="1">
      <alignment horizontal="center" vertical="center"/>
    </xf>
    <xf numFmtId="41" fontId="49" fillId="0" borderId="135" xfId="1" applyFont="1" applyFill="1" applyBorder="1" applyAlignment="1">
      <alignment horizontal="right" vertical="center"/>
    </xf>
    <xf numFmtId="41" fontId="49" fillId="0" borderId="177" xfId="1" applyFont="1" applyFill="1" applyBorder="1" applyAlignment="1">
      <alignment horizontal="left" vertical="center" wrapText="1"/>
    </xf>
    <xf numFmtId="41" fontId="49" fillId="0" borderId="196" xfId="1" applyFont="1" applyFill="1" applyBorder="1" applyAlignment="1">
      <alignment horizontal="center" vertical="center"/>
    </xf>
    <xf numFmtId="41" fontId="50" fillId="0" borderId="213" xfId="1" applyFont="1" applyFill="1" applyBorder="1" applyAlignment="1">
      <alignment horizontal="left" vertical="center"/>
    </xf>
    <xf numFmtId="41" fontId="50" fillId="0" borderId="177" xfId="1" applyFont="1" applyFill="1" applyBorder="1" applyAlignment="1">
      <alignment horizontal="right" vertical="center"/>
    </xf>
    <xf numFmtId="41" fontId="50" fillId="0" borderId="36" xfId="1" applyFont="1" applyFill="1" applyBorder="1" applyAlignment="1">
      <alignment horizontal="center" vertical="center"/>
    </xf>
    <xf numFmtId="41" fontId="50" fillId="0" borderId="214" xfId="1" applyFont="1" applyFill="1" applyBorder="1" applyAlignment="1">
      <alignment horizontal="left" vertical="center"/>
    </xf>
    <xf numFmtId="41" fontId="50" fillId="0" borderId="185" xfId="1" applyFont="1" applyFill="1" applyBorder="1" applyAlignment="1">
      <alignment vertical="center"/>
    </xf>
    <xf numFmtId="41" fontId="49" fillId="0" borderId="185" xfId="1" applyFont="1" applyFill="1" applyBorder="1" applyAlignment="1">
      <alignment horizontal="left" vertical="center" wrapText="1"/>
    </xf>
    <xf numFmtId="41" fontId="50" fillId="0" borderId="171" xfId="1" applyFont="1" applyFill="1" applyBorder="1" applyAlignment="1">
      <alignment horizontal="center" vertical="center"/>
    </xf>
    <xf numFmtId="41" fontId="49" fillId="0" borderId="131" xfId="1" applyFont="1" applyFill="1" applyBorder="1" applyAlignment="1">
      <alignment horizontal="left" vertical="center" wrapText="1"/>
    </xf>
    <xf numFmtId="41" fontId="49" fillId="0" borderId="132" xfId="1" applyFont="1" applyFill="1" applyBorder="1" applyAlignment="1">
      <alignment horizontal="center" vertical="center"/>
    </xf>
    <xf numFmtId="41" fontId="50" fillId="0" borderId="185" xfId="1" applyFont="1" applyFill="1" applyBorder="1" applyAlignment="1">
      <alignment horizontal="right" vertical="center" wrapText="1"/>
    </xf>
    <xf numFmtId="41" fontId="50" fillId="0" borderId="130" xfId="1" applyFont="1" applyFill="1" applyBorder="1" applyAlignment="1">
      <alignment horizontal="left" vertical="center"/>
    </xf>
    <xf numFmtId="41" fontId="50" fillId="0" borderId="206" xfId="1" applyFont="1" applyFill="1" applyBorder="1" applyAlignment="1">
      <alignment horizontal="left" vertical="center"/>
    </xf>
    <xf numFmtId="41" fontId="49" fillId="0" borderId="176" xfId="1" applyFont="1" applyFill="1" applyBorder="1" applyAlignment="1">
      <alignment horizontal="left" vertical="center" wrapText="1"/>
    </xf>
    <xf numFmtId="41" fontId="50" fillId="0" borderId="171" xfId="1" applyFont="1" applyFill="1" applyBorder="1" applyAlignment="1">
      <alignment vertical="center"/>
    </xf>
    <xf numFmtId="41" fontId="50" fillId="0" borderId="172" xfId="1" applyFont="1" applyFill="1" applyBorder="1" applyAlignment="1">
      <alignment vertical="center"/>
    </xf>
    <xf numFmtId="41" fontId="50" fillId="0" borderId="173" xfId="1" applyFont="1" applyFill="1" applyBorder="1" applyAlignment="1">
      <alignment horizontal="right" vertical="center"/>
    </xf>
    <xf numFmtId="41" fontId="49" fillId="0" borderId="173" xfId="1" applyFont="1" applyFill="1" applyBorder="1" applyAlignment="1">
      <alignment vertical="center"/>
    </xf>
    <xf numFmtId="41" fontId="49" fillId="0" borderId="175" xfId="1" applyFont="1" applyFill="1" applyBorder="1" applyAlignment="1">
      <alignment vertical="center"/>
    </xf>
    <xf numFmtId="41" fontId="49" fillId="0" borderId="176" xfId="1" applyFont="1" applyFill="1" applyBorder="1" applyAlignment="1">
      <alignment horizontal="right" vertical="center"/>
    </xf>
    <xf numFmtId="41" fontId="49" fillId="0" borderId="176" xfId="1" applyFont="1" applyFill="1" applyBorder="1" applyAlignment="1">
      <alignment horizontal="center" vertical="center"/>
    </xf>
    <xf numFmtId="41" fontId="49" fillId="0" borderId="184" xfId="1" applyFont="1" applyFill="1" applyBorder="1" applyAlignment="1">
      <alignment vertical="center"/>
    </xf>
    <xf numFmtId="41" fontId="49" fillId="0" borderId="185" xfId="1" applyFont="1" applyFill="1" applyBorder="1" applyAlignment="1">
      <alignment horizontal="right" vertical="center"/>
    </xf>
    <xf numFmtId="41" fontId="49" fillId="0" borderId="185" xfId="1" applyFont="1" applyFill="1" applyBorder="1" applyAlignment="1">
      <alignment vertical="center"/>
    </xf>
    <xf numFmtId="41" fontId="49" fillId="0" borderId="172" xfId="1" applyFont="1" applyFill="1" applyBorder="1" applyAlignment="1">
      <alignment vertical="center"/>
    </xf>
    <xf numFmtId="41" fontId="49" fillId="0" borderId="173" xfId="1" applyFont="1" applyFill="1" applyBorder="1" applyAlignment="1">
      <alignment horizontal="right" vertical="center"/>
    </xf>
    <xf numFmtId="41" fontId="49" fillId="0" borderId="160" xfId="1" applyFont="1" applyFill="1" applyBorder="1" applyAlignment="1">
      <alignment vertical="center"/>
    </xf>
    <xf numFmtId="41" fontId="49" fillId="0" borderId="135" xfId="1" applyFont="1" applyFill="1" applyBorder="1" applyAlignment="1">
      <alignment vertical="center"/>
    </xf>
    <xf numFmtId="41" fontId="36" fillId="0" borderId="17" xfId="1" applyFont="1" applyFill="1" applyBorder="1" applyAlignment="1">
      <alignment horizontal="center" vertical="center"/>
    </xf>
    <xf numFmtId="41" fontId="36" fillId="0" borderId="31" xfId="1" applyFont="1" applyFill="1" applyBorder="1" applyAlignment="1">
      <alignment horizontal="center" vertical="center"/>
    </xf>
    <xf numFmtId="41" fontId="48" fillId="0" borderId="19" xfId="1" applyFont="1" applyFill="1" applyBorder="1" applyAlignment="1">
      <alignment vertical="center"/>
    </xf>
    <xf numFmtId="41" fontId="49" fillId="0" borderId="26" xfId="1" applyFont="1" applyFill="1" applyBorder="1" applyAlignment="1">
      <alignment vertical="center"/>
    </xf>
    <xf numFmtId="41" fontId="49" fillId="0" borderId="1" xfId="1" applyFont="1" applyFill="1" applyBorder="1" applyAlignment="1">
      <alignment horizontal="right" vertical="center"/>
    </xf>
    <xf numFmtId="41" fontId="49" fillId="0" borderId="1" xfId="1" applyFont="1" applyFill="1" applyBorder="1" applyAlignment="1">
      <alignment vertical="center"/>
    </xf>
    <xf numFmtId="41" fontId="36" fillId="0" borderId="1" xfId="1" applyFont="1" applyFill="1" applyBorder="1" applyAlignment="1">
      <alignment horizontal="center" vertical="center"/>
    </xf>
    <xf numFmtId="41" fontId="36" fillId="0" borderId="16" xfId="1" applyFont="1" applyFill="1" applyBorder="1" applyAlignment="1">
      <alignment horizontal="center" vertical="center"/>
    </xf>
    <xf numFmtId="41" fontId="48" fillId="0" borderId="81" xfId="1" applyFont="1" applyFill="1" applyBorder="1" applyAlignment="1">
      <alignment vertical="center"/>
    </xf>
    <xf numFmtId="41" fontId="36" fillId="0" borderId="0" xfId="1" applyFont="1" applyFill="1" applyBorder="1" applyAlignment="1">
      <alignment horizontal="center" vertical="center"/>
    </xf>
    <xf numFmtId="41" fontId="36" fillId="0" borderId="37" xfId="1" applyFont="1" applyFill="1" applyBorder="1" applyAlignment="1">
      <alignment horizontal="center" vertical="center"/>
    </xf>
    <xf numFmtId="41" fontId="49" fillId="0" borderId="114" xfId="1" applyFont="1" applyFill="1" applyBorder="1" applyAlignment="1">
      <alignment vertical="center"/>
    </xf>
    <xf numFmtId="41" fontId="49" fillId="0" borderId="115" xfId="1" applyFont="1" applyFill="1" applyBorder="1" applyAlignment="1">
      <alignment horizontal="right" vertical="center"/>
    </xf>
    <xf numFmtId="41" fontId="49" fillId="0" borderId="115" xfId="1" applyFont="1" applyFill="1" applyBorder="1" applyAlignment="1">
      <alignment vertical="center"/>
    </xf>
    <xf numFmtId="41" fontId="49" fillId="0" borderId="115" xfId="1" applyFont="1" applyFill="1" applyBorder="1" applyAlignment="1">
      <alignment horizontal="center" vertical="center"/>
    </xf>
    <xf numFmtId="41" fontId="49" fillId="0" borderId="203" xfId="1" applyFont="1" applyFill="1" applyBorder="1" applyAlignment="1">
      <alignment horizontal="center" vertical="center"/>
    </xf>
    <xf numFmtId="41" fontId="49" fillId="0" borderId="60" xfId="1" applyFont="1" applyFill="1" applyBorder="1" applyAlignment="1">
      <alignment horizontal="center" vertical="center"/>
    </xf>
    <xf numFmtId="41" fontId="49" fillId="0" borderId="0" xfId="1" applyFont="1" applyFill="1" applyBorder="1" applyAlignment="1"/>
    <xf numFmtId="41" fontId="49" fillId="0" borderId="0" xfId="1" applyFont="1" applyFill="1" applyBorder="1" applyAlignment="1">
      <alignment horizontal="right"/>
    </xf>
    <xf numFmtId="41" fontId="49" fillId="0" borderId="0" xfId="1" applyFont="1" applyFill="1" applyBorder="1" applyAlignment="1">
      <alignment horizontal="center"/>
    </xf>
    <xf numFmtId="41" fontId="36" fillId="0" borderId="0" xfId="1" applyFont="1" applyFill="1" applyAlignment="1"/>
    <xf numFmtId="41" fontId="36" fillId="0" borderId="0" xfId="1" applyFont="1" applyFill="1" applyAlignment="1">
      <alignment horizontal="right"/>
    </xf>
    <xf numFmtId="41" fontId="36" fillId="0" borderId="0" xfId="1" applyFont="1" applyFill="1" applyAlignment="1">
      <alignment horizontal="center"/>
    </xf>
    <xf numFmtId="179" fontId="54" fillId="3" borderId="0" xfId="1" applyNumberFormat="1" applyFont="1" applyFill="1" applyAlignment="1"/>
    <xf numFmtId="41" fontId="54" fillId="3" borderId="0" xfId="1" applyFont="1" applyFill="1" applyAlignment="1"/>
    <xf numFmtId="0" fontId="19" fillId="0" borderId="17" xfId="2" applyFont="1" applyBorder="1" applyAlignment="1">
      <alignment horizontal="left" vertical="center"/>
    </xf>
    <xf numFmtId="0" fontId="33" fillId="3" borderId="104" xfId="2" applyFont="1" applyFill="1" applyBorder="1" applyAlignment="1">
      <alignment horizontal="center" vertical="center" shrinkToFit="1"/>
    </xf>
    <xf numFmtId="0" fontId="33" fillId="3" borderId="96" xfId="2" applyFont="1" applyFill="1" applyBorder="1" applyAlignment="1">
      <alignment horizontal="center" vertical="center" shrinkToFit="1"/>
    </xf>
    <xf numFmtId="0" fontId="30" fillId="3" borderId="0" xfId="2" applyFont="1" applyFill="1" applyAlignment="1">
      <alignment horizontal="center" vertical="center"/>
    </xf>
    <xf numFmtId="0" fontId="32" fillId="3" borderId="0" xfId="2" applyFont="1" applyFill="1" applyAlignment="1">
      <alignment horizontal="left" vertical="center"/>
    </xf>
    <xf numFmtId="0" fontId="33" fillId="3" borderId="87" xfId="2" applyFont="1" applyFill="1" applyBorder="1" applyAlignment="1">
      <alignment horizontal="center" vertical="center" shrinkToFit="1"/>
    </xf>
    <xf numFmtId="0" fontId="33" fillId="3" borderId="88" xfId="2" applyFont="1" applyFill="1" applyBorder="1" applyAlignment="1">
      <alignment horizontal="center" vertical="center" shrinkToFit="1"/>
    </xf>
    <xf numFmtId="0" fontId="33" fillId="3" borderId="5" xfId="2" applyFont="1" applyFill="1" applyBorder="1" applyAlignment="1">
      <alignment horizontal="center" vertical="center" shrinkToFit="1"/>
    </xf>
    <xf numFmtId="0" fontId="33" fillId="3" borderId="89" xfId="2" applyFont="1" applyFill="1" applyBorder="1" applyAlignment="1">
      <alignment horizontal="center" vertical="center" shrinkToFit="1"/>
    </xf>
    <xf numFmtId="0" fontId="33" fillId="3" borderId="103" xfId="2" applyFont="1" applyFill="1" applyBorder="1" applyAlignment="1">
      <alignment horizontal="center" vertical="center" shrinkToFit="1"/>
    </xf>
    <xf numFmtId="0" fontId="33" fillId="3" borderId="106" xfId="2" applyFont="1" applyFill="1" applyBorder="1" applyAlignment="1">
      <alignment horizontal="center" vertical="center" shrinkToFit="1"/>
    </xf>
    <xf numFmtId="0" fontId="33" fillId="4" borderId="103" xfId="2" applyFont="1" applyFill="1" applyBorder="1" applyAlignment="1">
      <alignment horizontal="center" vertical="center" shrinkToFit="1"/>
    </xf>
    <xf numFmtId="0" fontId="33" fillId="4" borderId="106" xfId="2" applyFont="1" applyFill="1" applyBorder="1" applyAlignment="1">
      <alignment horizontal="center" vertical="center" shrinkToFit="1"/>
    </xf>
    <xf numFmtId="0" fontId="33" fillId="3" borderId="51" xfId="2" applyFont="1" applyFill="1" applyBorder="1" applyAlignment="1">
      <alignment horizontal="center" vertical="center" shrinkToFit="1"/>
    </xf>
    <xf numFmtId="0" fontId="33" fillId="3" borderId="105" xfId="2" applyFont="1" applyFill="1" applyBorder="1" applyAlignment="1">
      <alignment horizontal="center" vertical="center" shrinkToFit="1"/>
    </xf>
    <xf numFmtId="0" fontId="33" fillId="3" borderId="26" xfId="2" applyFont="1" applyFill="1" applyBorder="1" applyAlignment="1">
      <alignment horizontal="center" vertical="center" shrinkToFit="1"/>
    </xf>
    <xf numFmtId="0" fontId="33" fillId="3" borderId="101" xfId="2" applyFont="1" applyFill="1" applyBorder="1" applyAlignment="1">
      <alignment horizontal="center" vertical="center" shrinkToFit="1"/>
    </xf>
    <xf numFmtId="0" fontId="33" fillId="3" borderId="7" xfId="2" applyFont="1" applyFill="1" applyBorder="1" applyAlignment="1">
      <alignment horizontal="center" vertical="center" shrinkToFit="1"/>
    </xf>
    <xf numFmtId="0" fontId="42" fillId="5" borderId="44" xfId="2" applyFont="1" applyFill="1" applyBorder="1" applyAlignment="1">
      <alignment horizontal="left" vertical="center" shrinkToFit="1"/>
    </xf>
    <xf numFmtId="0" fontId="42" fillId="5" borderId="45" xfId="2" applyFont="1" applyFill="1" applyBorder="1" applyAlignment="1">
      <alignment horizontal="left" vertical="center" shrinkToFit="1"/>
    </xf>
    <xf numFmtId="0" fontId="42" fillId="5" borderId="130" xfId="2" applyFont="1" applyFill="1" applyBorder="1" applyAlignment="1">
      <alignment horizontal="left" vertical="center" shrinkToFit="1"/>
    </xf>
    <xf numFmtId="0" fontId="42" fillId="6" borderId="132" xfId="2" applyFont="1" applyFill="1" applyBorder="1" applyAlignment="1">
      <alignment horizontal="center" vertical="center" shrinkToFit="1"/>
    </xf>
    <xf numFmtId="0" fontId="42" fillId="6" borderId="130" xfId="2" applyFont="1" applyFill="1" applyBorder="1" applyAlignment="1">
      <alignment horizontal="center" vertical="center" shrinkToFit="1"/>
    </xf>
    <xf numFmtId="0" fontId="20" fillId="0" borderId="0" xfId="2" applyFont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42" fillId="0" borderId="108" xfId="2" applyFont="1" applyBorder="1" applyAlignment="1">
      <alignment horizontal="center" vertical="center" shrinkToFit="1"/>
    </xf>
    <xf numFmtId="0" fontId="42" fillId="0" borderId="109" xfId="2" applyFont="1" applyBorder="1" applyAlignment="1">
      <alignment horizontal="center" vertical="center" shrinkToFit="1"/>
    </xf>
    <xf numFmtId="0" fontId="42" fillId="0" borderId="151" xfId="2" applyFont="1" applyBorder="1" applyAlignment="1">
      <alignment horizontal="center" vertical="center" shrinkToFit="1"/>
    </xf>
    <xf numFmtId="0" fontId="42" fillId="0" borderId="110" xfId="2" applyFont="1" applyBorder="1" applyAlignment="1">
      <alignment horizontal="center" vertical="center" shrinkToFit="1"/>
    </xf>
    <xf numFmtId="0" fontId="42" fillId="0" borderId="111" xfId="2" applyFont="1" applyBorder="1" applyAlignment="1">
      <alignment horizontal="center" vertical="center" shrinkToFit="1"/>
    </xf>
    <xf numFmtId="0" fontId="42" fillId="0" borderId="112" xfId="2" applyFont="1" applyBorder="1" applyAlignment="1">
      <alignment horizontal="center" vertical="center" shrinkToFit="1"/>
    </xf>
    <xf numFmtId="0" fontId="42" fillId="0" borderId="113" xfId="2" applyFont="1" applyBorder="1" applyAlignment="1">
      <alignment horizontal="center" vertical="center" shrinkToFit="1"/>
    </xf>
    <xf numFmtId="0" fontId="42" fillId="0" borderId="114" xfId="2" applyFont="1" applyBorder="1" applyAlignment="1">
      <alignment horizontal="center" vertical="center" shrinkToFit="1"/>
    </xf>
    <xf numFmtId="0" fontId="42" fillId="0" borderId="119" xfId="2" applyFont="1" applyBorder="1" applyAlignment="1">
      <alignment horizontal="center" vertical="center" shrinkToFit="1"/>
    </xf>
    <xf numFmtId="0" fontId="42" fillId="0" borderId="115" xfId="2" applyFont="1" applyBorder="1" applyAlignment="1">
      <alignment horizontal="center" vertical="center" shrinkToFit="1"/>
    </xf>
    <xf numFmtId="0" fontId="42" fillId="0" borderId="120" xfId="2" applyFont="1" applyBorder="1" applyAlignment="1">
      <alignment horizontal="center" vertical="center" shrinkToFit="1"/>
    </xf>
    <xf numFmtId="41" fontId="42" fillId="0" borderId="115" xfId="1" applyFont="1" applyFill="1" applyBorder="1" applyAlignment="1">
      <alignment horizontal="center" vertical="center" shrinkToFit="1"/>
    </xf>
    <xf numFmtId="41" fontId="42" fillId="0" borderId="120" xfId="1" applyFont="1" applyFill="1" applyBorder="1" applyAlignment="1">
      <alignment horizontal="center" vertical="center" shrinkToFit="1"/>
    </xf>
    <xf numFmtId="41" fontId="42" fillId="0" borderId="116" xfId="1" applyFont="1" applyFill="1" applyBorder="1" applyAlignment="1">
      <alignment horizontal="center" vertical="center" shrinkToFit="1"/>
    </xf>
    <xf numFmtId="41" fontId="42" fillId="0" borderId="121" xfId="1" applyFont="1" applyFill="1" applyBorder="1" applyAlignment="1">
      <alignment horizontal="center" vertical="center" shrinkToFit="1"/>
    </xf>
    <xf numFmtId="41" fontId="42" fillId="0" borderId="100" xfId="1" applyFont="1" applyFill="1" applyBorder="1" applyAlignment="1">
      <alignment horizontal="center" vertical="center" shrinkToFit="1"/>
    </xf>
    <xf numFmtId="41" fontId="42" fillId="0" borderId="125" xfId="1" applyFont="1" applyFill="1" applyBorder="1" applyAlignment="1">
      <alignment horizontal="center" vertical="center" shrinkToFit="1"/>
    </xf>
    <xf numFmtId="41" fontId="42" fillId="0" borderId="55" xfId="1" applyFont="1" applyFill="1" applyBorder="1" applyAlignment="1">
      <alignment horizontal="center" vertical="center" shrinkToFit="1"/>
    </xf>
    <xf numFmtId="41" fontId="42" fillId="0" borderId="124" xfId="1" applyFont="1" applyFill="1" applyBorder="1" applyAlignment="1">
      <alignment horizontal="center" vertical="center" shrinkToFit="1"/>
    </xf>
    <xf numFmtId="41" fontId="42" fillId="0" borderId="117" xfId="1" applyFont="1" applyFill="1" applyBorder="1" applyAlignment="1">
      <alignment horizontal="center" vertical="center" shrinkToFit="1"/>
    </xf>
    <xf numFmtId="41" fontId="42" fillId="0" borderId="122" xfId="1" applyFont="1" applyFill="1" applyBorder="1" applyAlignment="1">
      <alignment horizontal="center" vertical="center" shrinkToFit="1"/>
    </xf>
    <xf numFmtId="0" fontId="42" fillId="0" borderId="118" xfId="2" applyFont="1" applyBorder="1" applyAlignment="1">
      <alignment horizontal="center" vertical="center" shrinkToFit="1"/>
    </xf>
    <xf numFmtId="0" fontId="42" fillId="0" borderId="123" xfId="2" applyFont="1" applyBorder="1" applyAlignment="1">
      <alignment horizontal="center" vertical="center" shrinkToFit="1"/>
    </xf>
    <xf numFmtId="0" fontId="42" fillId="4" borderId="126" xfId="2" applyFont="1" applyFill="1" applyBorder="1" applyAlignment="1">
      <alignment horizontal="center" vertical="center" shrinkToFit="1"/>
    </xf>
    <xf numFmtId="0" fontId="42" fillId="4" borderId="127" xfId="2" applyFont="1" applyFill="1" applyBorder="1" applyAlignment="1">
      <alignment horizontal="center" vertical="center" shrinkToFit="1"/>
    </xf>
    <xf numFmtId="0" fontId="42" fillId="4" borderId="128" xfId="2" applyFont="1" applyFill="1" applyBorder="1" applyAlignment="1">
      <alignment horizontal="center" vertical="center" shrinkToFit="1"/>
    </xf>
    <xf numFmtId="0" fontId="42" fillId="4" borderId="129" xfId="2" applyFont="1" applyFill="1" applyBorder="1" applyAlignment="1">
      <alignment horizontal="center" vertical="center" shrinkToFit="1"/>
    </xf>
    <xf numFmtId="0" fontId="42" fillId="5" borderId="133" xfId="2" applyFont="1" applyFill="1" applyBorder="1" applyAlignment="1">
      <alignment horizontal="left" vertical="center" shrinkToFit="1"/>
    </xf>
    <xf numFmtId="0" fontId="42" fillId="5" borderId="131" xfId="2" applyFont="1" applyFill="1" applyBorder="1" applyAlignment="1">
      <alignment horizontal="left" vertical="center" shrinkToFit="1"/>
    </xf>
    <xf numFmtId="0" fontId="42" fillId="0" borderId="131" xfId="2" applyFont="1" applyBorder="1" applyAlignment="1">
      <alignment horizontal="center" vertical="center" shrinkToFit="1"/>
    </xf>
    <xf numFmtId="0" fontId="42" fillId="6" borderId="131" xfId="2" applyFont="1" applyFill="1" applyBorder="1" applyAlignment="1">
      <alignment horizontal="left" vertical="center" shrinkToFit="1"/>
    </xf>
    <xf numFmtId="0" fontId="22" fillId="5" borderId="133" xfId="0" applyFont="1" applyFill="1" applyBorder="1" applyAlignment="1">
      <alignment horizontal="left" vertical="center"/>
    </xf>
    <xf numFmtId="0" fontId="22" fillId="5" borderId="131" xfId="0" applyFont="1" applyFill="1" applyBorder="1" applyAlignment="1">
      <alignment horizontal="left" vertical="center"/>
    </xf>
    <xf numFmtId="0" fontId="42" fillId="5" borderId="215" xfId="2" applyFont="1" applyFill="1" applyBorder="1" applyAlignment="1">
      <alignment horizontal="left" vertical="center" wrapText="1" shrinkToFit="1"/>
    </xf>
    <xf numFmtId="0" fontId="42" fillId="5" borderId="45" xfId="2" applyFont="1" applyFill="1" applyBorder="1" applyAlignment="1">
      <alignment horizontal="left" vertical="center" wrapText="1" shrinkToFit="1"/>
    </xf>
    <xf numFmtId="0" fontId="42" fillId="5" borderId="130" xfId="2" applyFont="1" applyFill="1" applyBorder="1" applyAlignment="1">
      <alignment horizontal="left" vertical="center" wrapText="1" shrinkToFit="1"/>
    </xf>
    <xf numFmtId="0" fontId="42" fillId="5" borderId="215" xfId="2" applyFont="1" applyFill="1" applyBorder="1" applyAlignment="1">
      <alignment horizontal="left" vertical="center" shrinkToFit="1"/>
    </xf>
    <xf numFmtId="41" fontId="23" fillId="0" borderId="25" xfId="1" applyFont="1" applyBorder="1" applyAlignment="1">
      <alignment horizontal="left" vertical="center"/>
    </xf>
    <xf numFmtId="41" fontId="23" fillId="0" borderId="17" xfId="1" applyFont="1" applyBorder="1" applyAlignment="1">
      <alignment horizontal="left" vertical="center"/>
    </xf>
    <xf numFmtId="41" fontId="7" fillId="3" borderId="45" xfId="1" applyFont="1" applyFill="1" applyBorder="1" applyAlignment="1">
      <alignment horizontal="left" vertical="center" wrapText="1"/>
    </xf>
    <xf numFmtId="41" fontId="7" fillId="3" borderId="46" xfId="1" applyFont="1" applyFill="1" applyBorder="1" applyAlignment="1">
      <alignment horizontal="left" vertical="center" wrapText="1"/>
    </xf>
    <xf numFmtId="41" fontId="7" fillId="3" borderId="39" xfId="1" applyFont="1" applyFill="1" applyBorder="1" applyAlignment="1">
      <alignment horizontal="left" vertical="center" wrapText="1"/>
    </xf>
    <xf numFmtId="41" fontId="7" fillId="3" borderId="40" xfId="1" applyFont="1" applyFill="1" applyBorder="1" applyAlignment="1">
      <alignment horizontal="left" vertical="center" wrapText="1"/>
    </xf>
    <xf numFmtId="41" fontId="7" fillId="3" borderId="59" xfId="1" applyFont="1" applyFill="1" applyBorder="1" applyAlignment="1">
      <alignment horizontal="left" vertical="center" wrapText="1"/>
    </xf>
    <xf numFmtId="41" fontId="7" fillId="3" borderId="60" xfId="1" applyFont="1" applyFill="1" applyBorder="1" applyAlignment="1">
      <alignment horizontal="left" vertical="center" wrapText="1"/>
    </xf>
    <xf numFmtId="41" fontId="23" fillId="3" borderId="25" xfId="1" applyFont="1" applyFill="1" applyBorder="1" applyAlignment="1">
      <alignment horizontal="left" vertical="center" wrapText="1"/>
    </xf>
    <xf numFmtId="41" fontId="23" fillId="3" borderId="17" xfId="1" applyFont="1" applyFill="1" applyBorder="1" applyAlignment="1">
      <alignment horizontal="left" vertical="center" wrapText="1"/>
    </xf>
    <xf numFmtId="41" fontId="7" fillId="3" borderId="50" xfId="1" applyFont="1" applyFill="1" applyBorder="1" applyAlignment="1">
      <alignment horizontal="left" vertical="center" wrapText="1"/>
    </xf>
    <xf numFmtId="41" fontId="7" fillId="3" borderId="0" xfId="1" applyFont="1" applyFill="1" applyBorder="1" applyAlignment="1">
      <alignment horizontal="left" vertical="center" wrapText="1"/>
    </xf>
    <xf numFmtId="41" fontId="7" fillId="3" borderId="37" xfId="1" applyFont="1" applyFill="1" applyBorder="1" applyAlignment="1">
      <alignment horizontal="left" vertical="center" wrapText="1"/>
    </xf>
    <xf numFmtId="41" fontId="7" fillId="3" borderId="20" xfId="1" applyFont="1" applyFill="1" applyBorder="1" applyAlignment="1">
      <alignment horizontal="left" vertical="center" wrapText="1"/>
    </xf>
    <xf numFmtId="41" fontId="7" fillId="3" borderId="21" xfId="1" applyFont="1" applyFill="1" applyBorder="1" applyAlignment="1">
      <alignment horizontal="left" vertical="center" wrapText="1"/>
    </xf>
    <xf numFmtId="41" fontId="7" fillId="3" borderId="6" xfId="1" applyFont="1" applyFill="1" applyBorder="1" applyAlignment="1">
      <alignment horizontal="left" vertical="center" wrapText="1"/>
    </xf>
    <xf numFmtId="41" fontId="7" fillId="3" borderId="17" xfId="1" applyFont="1" applyFill="1" applyBorder="1" applyAlignment="1">
      <alignment horizontal="left" vertical="center" wrapText="1"/>
    </xf>
    <xf numFmtId="41" fontId="7" fillId="3" borderId="31" xfId="1" applyFont="1" applyFill="1" applyBorder="1" applyAlignment="1">
      <alignment horizontal="left" vertical="center" wrapText="1"/>
    </xf>
    <xf numFmtId="41" fontId="7" fillId="3" borderId="26" xfId="1" applyFont="1" applyFill="1" applyBorder="1" applyAlignment="1">
      <alignment vertical="center" wrapText="1"/>
    </xf>
    <xf numFmtId="41" fontId="7" fillId="3" borderId="1" xfId="1" applyFont="1" applyFill="1" applyBorder="1" applyAlignment="1">
      <alignment vertical="center" wrapText="1"/>
    </xf>
    <xf numFmtId="41" fontId="7" fillId="3" borderId="16" xfId="1" applyFont="1" applyFill="1" applyBorder="1" applyAlignment="1">
      <alignment vertical="center" wrapText="1"/>
    </xf>
    <xf numFmtId="41" fontId="39" fillId="0" borderId="26" xfId="1" applyFont="1" applyBorder="1" applyAlignment="1">
      <alignment horizontal="center" vertical="center"/>
    </xf>
    <xf numFmtId="41" fontId="39" fillId="0" borderId="1" xfId="1" applyFont="1" applyBorder="1" applyAlignment="1">
      <alignment horizontal="center" vertical="center"/>
    </xf>
    <xf numFmtId="41" fontId="39" fillId="0" borderId="16" xfId="1" applyFont="1" applyBorder="1" applyAlignment="1">
      <alignment horizontal="center" vertical="center"/>
    </xf>
    <xf numFmtId="41" fontId="7" fillId="0" borderId="108" xfId="1" applyFont="1" applyBorder="1" applyAlignment="1">
      <alignment horizontal="left" vertical="center"/>
    </xf>
    <xf numFmtId="41" fontId="7" fillId="0" borderId="109" xfId="1" applyFont="1" applyBorder="1" applyAlignment="1">
      <alignment horizontal="left" vertical="center"/>
    </xf>
    <xf numFmtId="41" fontId="23" fillId="0" borderId="31" xfId="1" applyFont="1" applyBorder="1" applyAlignment="1">
      <alignment horizontal="left" vertical="center"/>
    </xf>
    <xf numFmtId="41" fontId="23" fillId="0" borderId="25" xfId="1" applyFont="1" applyFill="1" applyBorder="1" applyAlignment="1">
      <alignment horizontal="left" vertical="center" wrapText="1"/>
    </xf>
    <xf numFmtId="41" fontId="23" fillId="0" borderId="17" xfId="1" applyFont="1" applyFill="1" applyBorder="1" applyAlignment="1">
      <alignment horizontal="left" vertical="center" wrapText="1"/>
    </xf>
    <xf numFmtId="41" fontId="23" fillId="0" borderId="31" xfId="1" applyFont="1" applyFill="1" applyBorder="1" applyAlignment="1">
      <alignment horizontal="left" vertical="center" wrapText="1"/>
    </xf>
    <xf numFmtId="41" fontId="7" fillId="3" borderId="109" xfId="1" applyFont="1" applyFill="1" applyBorder="1" applyAlignment="1">
      <alignment horizontal="left" vertical="center" wrapText="1"/>
    </xf>
    <xf numFmtId="41" fontId="7" fillId="3" borderId="102" xfId="1" applyFont="1" applyFill="1" applyBorder="1" applyAlignment="1">
      <alignment horizontal="left" vertical="center" wrapText="1"/>
    </xf>
    <xf numFmtId="41" fontId="20" fillId="0" borderId="0" xfId="1" applyFont="1" applyAlignment="1">
      <alignment horizontal="center" vertical="center"/>
    </xf>
    <xf numFmtId="41" fontId="11" fillId="0" borderId="1" xfId="1" applyFont="1" applyBorder="1" applyAlignment="1">
      <alignment horizontal="left" vertical="center"/>
    </xf>
    <xf numFmtId="41" fontId="21" fillId="0" borderId="19" xfId="1" applyFont="1" applyBorder="1" applyAlignment="1">
      <alignment horizontal="center" vertical="center"/>
    </xf>
    <xf numFmtId="41" fontId="28" fillId="0" borderId="70" xfId="1" applyFont="1" applyBorder="1" applyAlignment="1">
      <alignment horizontal="center" vertical="center" shrinkToFit="1"/>
    </xf>
    <xf numFmtId="41" fontId="28" fillId="0" borderId="81" xfId="1" applyFont="1" applyBorder="1" applyAlignment="1">
      <alignment horizontal="center" vertical="center" shrinkToFit="1"/>
    </xf>
    <xf numFmtId="41" fontId="21" fillId="0" borderId="20" xfId="1" applyFont="1" applyBorder="1" applyAlignment="1">
      <alignment horizontal="center" vertical="center"/>
    </xf>
    <xf numFmtId="41" fontId="21" fillId="0" borderId="21" xfId="1" applyFont="1" applyBorder="1" applyAlignment="1">
      <alignment horizontal="center" vertical="center"/>
    </xf>
    <xf numFmtId="41" fontId="21" fillId="0" borderId="6" xfId="1" applyFont="1" applyBorder="1" applyAlignment="1">
      <alignment horizontal="center" vertical="center"/>
    </xf>
    <xf numFmtId="41" fontId="21" fillId="0" borderId="26" xfId="1" applyFont="1" applyBorder="1" applyAlignment="1">
      <alignment horizontal="center" vertical="center"/>
    </xf>
    <xf numFmtId="41" fontId="21" fillId="0" borderId="1" xfId="1" applyFont="1" applyBorder="1" applyAlignment="1">
      <alignment horizontal="center" vertical="center"/>
    </xf>
    <xf numFmtId="41" fontId="21" fillId="0" borderId="16" xfId="1" applyFont="1" applyBorder="1" applyAlignment="1">
      <alignment horizontal="center" vertical="center"/>
    </xf>
    <xf numFmtId="41" fontId="21" fillId="0" borderId="24" xfId="1" applyFont="1" applyBorder="1" applyAlignment="1">
      <alignment horizontal="center" vertical="center"/>
    </xf>
    <xf numFmtId="41" fontId="21" fillId="0" borderId="30" xfId="1" applyFont="1" applyBorder="1" applyAlignment="1">
      <alignment horizontal="center" vertical="center"/>
    </xf>
    <xf numFmtId="41" fontId="49" fillId="3" borderId="180" xfId="1" applyFont="1" applyFill="1" applyBorder="1" applyAlignment="1">
      <alignment horizontal="center" vertical="center" wrapText="1"/>
    </xf>
    <xf numFmtId="41" fontId="49" fillId="3" borderId="170" xfId="1" applyFont="1" applyFill="1" applyBorder="1" applyAlignment="1">
      <alignment horizontal="center" vertical="center" wrapText="1"/>
    </xf>
    <xf numFmtId="41" fontId="49" fillId="3" borderId="182" xfId="1" applyFont="1" applyFill="1" applyBorder="1" applyAlignment="1">
      <alignment horizontal="left" vertical="center" wrapText="1"/>
    </xf>
    <xf numFmtId="41" fontId="49" fillId="3" borderId="183" xfId="1" applyFont="1" applyFill="1" applyBorder="1" applyAlignment="1">
      <alignment horizontal="left" vertical="center" wrapText="1"/>
    </xf>
    <xf numFmtId="41" fontId="49" fillId="3" borderId="182" xfId="1" applyFont="1" applyFill="1" applyBorder="1" applyAlignment="1">
      <alignment horizontal="left" vertical="center"/>
    </xf>
    <xf numFmtId="41" fontId="49" fillId="3" borderId="183" xfId="1" applyFont="1" applyFill="1" applyBorder="1" applyAlignment="1">
      <alignment horizontal="left" vertical="center"/>
    </xf>
    <xf numFmtId="41" fontId="49" fillId="3" borderId="182" xfId="1" applyFont="1" applyFill="1" applyBorder="1" applyAlignment="1">
      <alignment vertical="center" wrapText="1"/>
    </xf>
    <xf numFmtId="41" fontId="49" fillId="3" borderId="183" xfId="1" applyFont="1" applyFill="1" applyBorder="1" applyAlignment="1">
      <alignment vertical="center" wrapText="1"/>
    </xf>
    <xf numFmtId="41" fontId="49" fillId="3" borderId="160" xfId="1" applyFont="1" applyFill="1" applyBorder="1" applyAlignment="1">
      <alignment horizontal="left" vertical="center" wrapText="1"/>
    </xf>
    <xf numFmtId="41" fontId="49" fillId="3" borderId="114" xfId="1" applyFont="1" applyFill="1" applyBorder="1" applyAlignment="1">
      <alignment horizontal="left" vertical="center" wrapText="1"/>
    </xf>
    <xf numFmtId="0" fontId="49" fillId="3" borderId="159" xfId="3" applyNumberFormat="1" applyFont="1" applyFill="1" applyBorder="1" applyAlignment="1">
      <alignment horizontal="center" vertical="center" wrapText="1"/>
    </xf>
    <xf numFmtId="0" fontId="49" fillId="3" borderId="116" xfId="3" applyNumberFormat="1" applyFont="1" applyFill="1" applyBorder="1" applyAlignment="1">
      <alignment horizontal="center" vertical="center" wrapText="1"/>
    </xf>
    <xf numFmtId="41" fontId="49" fillId="3" borderId="187" xfId="1" applyFont="1" applyFill="1" applyBorder="1" applyAlignment="1">
      <alignment horizontal="center" vertical="center" wrapText="1"/>
    </xf>
    <xf numFmtId="41" fontId="49" fillId="3" borderId="181" xfId="1" applyFont="1" applyFill="1" applyBorder="1" applyAlignment="1">
      <alignment horizontal="center" vertical="center" wrapText="1"/>
    </xf>
    <xf numFmtId="41" fontId="49" fillId="3" borderId="187" xfId="1" applyFont="1" applyFill="1" applyBorder="1" applyAlignment="1">
      <alignment horizontal="center" vertical="center"/>
    </xf>
    <xf numFmtId="41" fontId="49" fillId="3" borderId="170" xfId="1" applyFont="1" applyFill="1" applyBorder="1" applyAlignment="1">
      <alignment horizontal="center" vertical="center"/>
    </xf>
    <xf numFmtId="41" fontId="49" fillId="3" borderId="189" xfId="1" applyFont="1" applyFill="1" applyBorder="1" applyAlignment="1">
      <alignment horizontal="center" vertical="center"/>
    </xf>
    <xf numFmtId="41" fontId="49" fillId="3" borderId="172" xfId="1" applyFont="1" applyFill="1" applyBorder="1" applyAlignment="1">
      <alignment horizontal="left" vertical="center" wrapText="1"/>
    </xf>
    <xf numFmtId="41" fontId="49" fillId="3" borderId="164" xfId="1" applyFont="1" applyFill="1" applyBorder="1" applyAlignment="1">
      <alignment horizontal="left" vertical="center" wrapText="1"/>
    </xf>
    <xf numFmtId="41" fontId="49" fillId="3" borderId="175" xfId="1" applyFont="1" applyFill="1" applyBorder="1" applyAlignment="1">
      <alignment horizontal="left" vertical="center" wrapText="1"/>
    </xf>
    <xf numFmtId="0" fontId="49" fillId="3" borderId="193" xfId="3" applyNumberFormat="1" applyFont="1" applyFill="1" applyBorder="1" applyAlignment="1">
      <alignment horizontal="center" vertical="center" wrapText="1"/>
    </xf>
    <xf numFmtId="0" fontId="49" fillId="3" borderId="194" xfId="3" applyNumberFormat="1" applyFont="1" applyFill="1" applyBorder="1" applyAlignment="1">
      <alignment horizontal="center" vertical="center" wrapText="1"/>
    </xf>
    <xf numFmtId="41" fontId="20" fillId="3" borderId="0" xfId="1" applyFont="1" applyFill="1" applyAlignment="1">
      <alignment horizontal="center" vertical="center"/>
    </xf>
    <xf numFmtId="41" fontId="48" fillId="3" borderId="70" xfId="1" applyFont="1" applyFill="1" applyBorder="1" applyAlignment="1">
      <alignment horizontal="center" vertical="center" shrinkToFit="1"/>
    </xf>
    <xf numFmtId="41" fontId="48" fillId="3" borderId="81" xfId="1" applyFont="1" applyFill="1" applyBorder="1" applyAlignment="1">
      <alignment horizontal="center" vertical="center" shrinkToFit="1"/>
    </xf>
    <xf numFmtId="0" fontId="49" fillId="3" borderId="195" xfId="3" applyNumberFormat="1" applyFont="1" applyFill="1" applyBorder="1" applyAlignment="1">
      <alignment horizontal="center" vertical="center" wrapText="1"/>
    </xf>
    <xf numFmtId="0" fontId="49" fillId="3" borderId="180" xfId="3" applyNumberFormat="1" applyFont="1" applyFill="1" applyBorder="1" applyAlignment="1">
      <alignment horizontal="center" vertical="center" wrapText="1"/>
    </xf>
    <xf numFmtId="0" fontId="49" fillId="3" borderId="181" xfId="3" applyNumberFormat="1" applyFont="1" applyFill="1" applyBorder="1" applyAlignment="1">
      <alignment horizontal="center" vertical="center" wrapText="1"/>
    </xf>
    <xf numFmtId="41" fontId="49" fillId="3" borderId="105" xfId="1" applyFont="1" applyFill="1" applyBorder="1" applyAlignment="1">
      <alignment horizontal="left" vertical="center" wrapText="1"/>
    </xf>
    <xf numFmtId="41" fontId="49" fillId="3" borderId="50" xfId="1" applyFont="1" applyFill="1" applyBorder="1" applyAlignment="1">
      <alignment horizontal="left" vertical="center" wrapText="1"/>
    </xf>
    <xf numFmtId="41" fontId="49" fillId="12" borderId="180" xfId="1" applyFont="1" applyFill="1" applyBorder="1" applyAlignment="1">
      <alignment horizontal="center" vertical="center" wrapText="1"/>
    </xf>
    <xf numFmtId="41" fontId="49" fillId="12" borderId="170" xfId="1" applyFont="1" applyFill="1" applyBorder="1" applyAlignment="1">
      <alignment horizontal="center" vertical="center" wrapText="1"/>
    </xf>
    <xf numFmtId="41" fontId="49" fillId="12" borderId="181" xfId="1" applyFont="1" applyFill="1" applyBorder="1" applyAlignment="1">
      <alignment horizontal="center" vertical="center" wrapText="1"/>
    </xf>
    <xf numFmtId="41" fontId="49" fillId="12" borderId="182" xfId="1" applyFont="1" applyFill="1" applyBorder="1" applyAlignment="1">
      <alignment horizontal="left" vertical="center" wrapText="1"/>
    </xf>
    <xf numFmtId="41" fontId="49" fillId="12" borderId="164" xfId="1" applyFont="1" applyFill="1" applyBorder="1" applyAlignment="1">
      <alignment horizontal="left" vertical="center" wrapText="1"/>
    </xf>
    <xf numFmtId="41" fontId="49" fillId="12" borderId="183" xfId="1" applyFont="1" applyFill="1" applyBorder="1" applyAlignment="1">
      <alignment horizontal="left" vertical="center" wrapText="1"/>
    </xf>
    <xf numFmtId="41" fontId="49" fillId="0" borderId="182" xfId="1" applyFont="1" applyFill="1" applyBorder="1" applyAlignment="1">
      <alignment vertical="center" wrapText="1"/>
    </xf>
    <xf numFmtId="41" fontId="49" fillId="0" borderId="183" xfId="1" applyFont="1" applyFill="1" applyBorder="1" applyAlignment="1">
      <alignment vertical="center" wrapText="1"/>
    </xf>
    <xf numFmtId="41" fontId="49" fillId="0" borderId="182" xfId="1" applyFont="1" applyFill="1" applyBorder="1" applyAlignment="1">
      <alignment horizontal="left" vertical="center"/>
    </xf>
    <xf numFmtId="41" fontId="49" fillId="0" borderId="183" xfId="1" applyFont="1" applyFill="1" applyBorder="1" applyAlignment="1">
      <alignment horizontal="left" vertical="center"/>
    </xf>
    <xf numFmtId="41" fontId="49" fillId="0" borderId="182" xfId="1" applyFont="1" applyFill="1" applyBorder="1" applyAlignment="1">
      <alignment horizontal="left" vertical="center" wrapText="1"/>
    </xf>
    <xf numFmtId="41" fontId="49" fillId="0" borderId="183" xfId="1" applyFont="1" applyFill="1" applyBorder="1" applyAlignment="1">
      <alignment horizontal="left" vertical="center" wrapText="1"/>
    </xf>
    <xf numFmtId="41" fontId="49" fillId="0" borderId="180" xfId="1" applyFont="1" applyFill="1" applyBorder="1" applyAlignment="1">
      <alignment horizontal="center" vertical="center" wrapText="1"/>
    </xf>
    <xf numFmtId="41" fontId="49" fillId="0" borderId="181" xfId="1" applyFont="1" applyFill="1" applyBorder="1" applyAlignment="1">
      <alignment horizontal="center" vertical="center" wrapText="1"/>
    </xf>
    <xf numFmtId="41" fontId="50" fillId="3" borderId="26" xfId="1" applyFont="1" applyFill="1" applyBorder="1" applyAlignment="1">
      <alignment horizontal="center" vertical="center"/>
    </xf>
    <xf numFmtId="41" fontId="50" fillId="3" borderId="1" xfId="1" applyFont="1" applyFill="1" applyBorder="1" applyAlignment="1">
      <alignment horizontal="center" vertical="center"/>
    </xf>
    <xf numFmtId="41" fontId="50" fillId="3" borderId="16" xfId="1" applyFont="1" applyFill="1" applyBorder="1" applyAlignment="1">
      <alignment horizontal="center" vertical="center"/>
    </xf>
    <xf numFmtId="41" fontId="50" fillId="0" borderId="25" xfId="1" applyFont="1" applyFill="1" applyBorder="1" applyAlignment="1">
      <alignment horizontal="left" vertical="center"/>
    </xf>
    <xf numFmtId="41" fontId="50" fillId="0" borderId="17" xfId="1" applyFont="1" applyFill="1" applyBorder="1" applyAlignment="1">
      <alignment horizontal="left" vertical="center"/>
    </xf>
    <xf numFmtId="41" fontId="50" fillId="0" borderId="31" xfId="1" applyFont="1" applyFill="1" applyBorder="1" applyAlignment="1">
      <alignment horizontal="left" vertical="center"/>
    </xf>
    <xf numFmtId="41" fontId="20" fillId="3" borderId="20" xfId="1" applyFont="1" applyFill="1" applyBorder="1" applyAlignment="1">
      <alignment horizontal="center" vertical="center"/>
    </xf>
    <xf numFmtId="41" fontId="20" fillId="3" borderId="21" xfId="1" applyFont="1" applyFill="1" applyBorder="1" applyAlignment="1">
      <alignment horizontal="center" vertical="center"/>
    </xf>
    <xf numFmtId="41" fontId="20" fillId="3" borderId="6" xfId="1" applyFont="1" applyFill="1" applyBorder="1" applyAlignment="1">
      <alignment horizontal="center" vertical="center"/>
    </xf>
    <xf numFmtId="41" fontId="48" fillId="3" borderId="26" xfId="1" applyFont="1" applyFill="1" applyBorder="1" applyAlignment="1">
      <alignment horizontal="left" vertical="center"/>
    </xf>
    <xf numFmtId="41" fontId="48" fillId="3" borderId="1" xfId="1" applyFont="1" applyFill="1" applyBorder="1" applyAlignment="1">
      <alignment horizontal="left" vertical="center"/>
    </xf>
    <xf numFmtId="41" fontId="48" fillId="3" borderId="16" xfId="1" applyFont="1" applyFill="1" applyBorder="1" applyAlignment="1">
      <alignment horizontal="left" vertical="center"/>
    </xf>
    <xf numFmtId="41" fontId="48" fillId="3" borderId="19" xfId="1" applyFont="1" applyFill="1" applyBorder="1" applyAlignment="1">
      <alignment horizontal="center" vertical="center"/>
    </xf>
    <xf numFmtId="41" fontId="48" fillId="0" borderId="20" xfId="1" applyFont="1" applyFill="1" applyBorder="1" applyAlignment="1">
      <alignment horizontal="center" vertical="center"/>
    </xf>
    <xf numFmtId="41" fontId="48" fillId="0" borderId="21" xfId="1" applyFont="1" applyFill="1" applyBorder="1" applyAlignment="1">
      <alignment horizontal="center" vertical="center"/>
    </xf>
    <xf numFmtId="41" fontId="48" fillId="0" borderId="6" xfId="1" applyFont="1" applyFill="1" applyBorder="1" applyAlignment="1">
      <alignment horizontal="center" vertical="center"/>
    </xf>
    <xf numFmtId="41" fontId="48" fillId="0" borderId="26" xfId="1" applyFont="1" applyFill="1" applyBorder="1" applyAlignment="1">
      <alignment horizontal="center" vertical="center"/>
    </xf>
    <xf numFmtId="41" fontId="48" fillId="0" borderId="1" xfId="1" applyFont="1" applyFill="1" applyBorder="1" applyAlignment="1">
      <alignment horizontal="center" vertical="center"/>
    </xf>
    <xf numFmtId="41" fontId="48" fillId="0" borderId="16" xfId="1" applyFont="1" applyFill="1" applyBorder="1" applyAlignment="1">
      <alignment horizontal="center" vertical="center"/>
    </xf>
    <xf numFmtId="41" fontId="48" fillId="0" borderId="70" xfId="1" applyFont="1" applyFill="1" applyBorder="1" applyAlignment="1">
      <alignment horizontal="center" vertical="center"/>
    </xf>
    <xf numFmtId="41" fontId="48" fillId="0" borderId="81" xfId="1" applyFont="1" applyFill="1" applyBorder="1" applyAlignment="1">
      <alignment horizontal="center" vertical="center"/>
    </xf>
    <xf numFmtId="41" fontId="49" fillId="0" borderId="172" xfId="1" applyFont="1" applyFill="1" applyBorder="1" applyAlignment="1">
      <alignment horizontal="left" vertical="center" wrapText="1"/>
    </xf>
    <xf numFmtId="41" fontId="49" fillId="0" borderId="114" xfId="1" applyFont="1" applyFill="1" applyBorder="1" applyAlignment="1">
      <alignment horizontal="left" vertical="center" wrapText="1"/>
    </xf>
    <xf numFmtId="41" fontId="49" fillId="0" borderId="175" xfId="1" applyFont="1" applyFill="1" applyBorder="1" applyAlignment="1">
      <alignment horizontal="left" vertical="center" wrapText="1"/>
    </xf>
    <xf numFmtId="41" fontId="49" fillId="0" borderId="160" xfId="1" applyFont="1" applyFill="1" applyBorder="1" applyAlignment="1">
      <alignment horizontal="left" vertical="center" wrapText="1"/>
    </xf>
    <xf numFmtId="41" fontId="49" fillId="0" borderId="164" xfId="1" applyFont="1" applyFill="1" applyBorder="1" applyAlignment="1">
      <alignment horizontal="left" vertical="center" wrapText="1"/>
    </xf>
    <xf numFmtId="0" fontId="49" fillId="0" borderId="193" xfId="3" applyNumberFormat="1" applyFont="1" applyFill="1" applyBorder="1" applyAlignment="1">
      <alignment horizontal="center" vertical="center" wrapText="1"/>
    </xf>
    <xf numFmtId="0" fontId="49" fillId="0" borderId="116" xfId="3" applyNumberFormat="1" applyFont="1" applyFill="1" applyBorder="1" applyAlignment="1">
      <alignment horizontal="center" vertical="center" wrapText="1"/>
    </xf>
    <xf numFmtId="0" fontId="49" fillId="0" borderId="194" xfId="3" applyNumberFormat="1" applyFont="1" applyFill="1" applyBorder="1" applyAlignment="1">
      <alignment horizontal="center" vertical="center" wrapText="1"/>
    </xf>
    <xf numFmtId="0" fontId="49" fillId="0" borderId="159" xfId="3" applyNumberFormat="1" applyFont="1" applyFill="1" applyBorder="1" applyAlignment="1">
      <alignment horizontal="center" vertical="center" wrapText="1"/>
    </xf>
    <xf numFmtId="0" fontId="49" fillId="0" borderId="195" xfId="3" applyNumberFormat="1" applyFont="1" applyFill="1" applyBorder="1" applyAlignment="1">
      <alignment horizontal="center" vertical="center" wrapText="1"/>
    </xf>
    <xf numFmtId="0" fontId="49" fillId="0" borderId="180" xfId="3" applyNumberFormat="1" applyFont="1" applyFill="1" applyBorder="1" applyAlignment="1">
      <alignment horizontal="center" vertical="center" wrapText="1"/>
    </xf>
    <xf numFmtId="0" fontId="49" fillId="0" borderId="181" xfId="3" applyNumberFormat="1" applyFont="1" applyFill="1" applyBorder="1" applyAlignment="1">
      <alignment horizontal="center" vertical="center" wrapText="1"/>
    </xf>
    <xf numFmtId="41" fontId="49" fillId="0" borderId="170" xfId="1" applyFont="1" applyFill="1" applyBorder="1" applyAlignment="1">
      <alignment horizontal="center" vertical="center" wrapText="1"/>
    </xf>
    <xf numFmtId="41" fontId="49" fillId="0" borderId="105" xfId="1" applyFont="1" applyFill="1" applyBorder="1" applyAlignment="1">
      <alignment horizontal="left" vertical="center" wrapText="1"/>
    </xf>
    <xf numFmtId="41" fontId="49" fillId="0" borderId="50" xfId="1" applyFont="1" applyFill="1" applyBorder="1" applyAlignment="1">
      <alignment horizontal="left" vertical="center" wrapText="1"/>
    </xf>
    <xf numFmtId="41" fontId="49" fillId="0" borderId="115" xfId="1" applyFont="1" applyFill="1" applyBorder="1" applyAlignment="1">
      <alignment horizontal="left" vertical="center" wrapText="1"/>
    </xf>
    <xf numFmtId="41" fontId="49" fillId="0" borderId="177" xfId="1" applyFont="1" applyFill="1" applyBorder="1" applyAlignment="1">
      <alignment horizontal="left" vertical="center" wrapText="1"/>
    </xf>
    <xf numFmtId="41" fontId="49" fillId="0" borderId="21" xfId="1" applyFont="1" applyFill="1" applyBorder="1" applyAlignment="1">
      <alignment vertical="center" wrapText="1"/>
    </xf>
    <xf numFmtId="41" fontId="49" fillId="0" borderId="6" xfId="1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1" fillId="0" borderId="1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176" fontId="7" fillId="3" borderId="39" xfId="0" applyNumberFormat="1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176" fontId="22" fillId="3" borderId="25" xfId="0" applyNumberFormat="1" applyFont="1" applyFill="1" applyBorder="1" applyAlignment="1">
      <alignment horizontal="center" vertical="center"/>
    </xf>
    <xf numFmtId="176" fontId="22" fillId="3" borderId="17" xfId="0" applyNumberFormat="1" applyFont="1" applyFill="1" applyBorder="1" applyAlignment="1">
      <alignment horizontal="center" vertical="center"/>
    </xf>
    <xf numFmtId="176" fontId="22" fillId="3" borderId="31" xfId="0" applyNumberFormat="1" applyFont="1" applyFill="1" applyBorder="1" applyAlignment="1">
      <alignment horizontal="center" vertical="center"/>
    </xf>
    <xf numFmtId="176" fontId="23" fillId="3" borderId="26" xfId="0" applyNumberFormat="1" applyFont="1" applyFill="1" applyBorder="1" applyAlignment="1">
      <alignment horizontal="left" vertical="center"/>
    </xf>
    <xf numFmtId="176" fontId="23" fillId="3" borderId="1" xfId="0" applyNumberFormat="1" applyFont="1" applyFill="1" applyBorder="1" applyAlignment="1">
      <alignment horizontal="left" vertical="center"/>
    </xf>
    <xf numFmtId="176" fontId="23" fillId="3" borderId="16" xfId="0" applyNumberFormat="1" applyFont="1" applyFill="1" applyBorder="1" applyAlignment="1">
      <alignment horizontal="left" vertical="center"/>
    </xf>
    <xf numFmtId="176" fontId="7" fillId="3" borderId="40" xfId="0" applyNumberFormat="1" applyFont="1" applyFill="1" applyBorder="1" applyAlignment="1">
      <alignment horizontal="left" vertical="center" wrapText="1"/>
    </xf>
    <xf numFmtId="176" fontId="7" fillId="3" borderId="45" xfId="0" applyNumberFormat="1" applyFont="1" applyFill="1" applyBorder="1" applyAlignment="1">
      <alignment horizontal="left" vertical="center" wrapText="1"/>
    </xf>
    <xf numFmtId="176" fontId="7" fillId="3" borderId="46" xfId="0" applyNumberFormat="1" applyFont="1" applyFill="1" applyBorder="1" applyAlignment="1">
      <alignment horizontal="left" vertical="center" wrapText="1"/>
    </xf>
    <xf numFmtId="176" fontId="7" fillId="3" borderId="55" xfId="0" applyNumberFormat="1" applyFont="1" applyFill="1" applyBorder="1" applyAlignment="1">
      <alignment horizontal="left" vertical="center" wrapText="1"/>
    </xf>
    <xf numFmtId="176" fontId="23" fillId="3" borderId="25" xfId="0" applyNumberFormat="1" applyFont="1" applyFill="1" applyBorder="1" applyAlignment="1">
      <alignment horizontal="left" vertical="center" wrapText="1"/>
    </xf>
    <xf numFmtId="176" fontId="23" fillId="3" borderId="17" xfId="0" applyNumberFormat="1" applyFont="1" applyFill="1" applyBorder="1" applyAlignment="1">
      <alignment horizontal="left" vertical="center" wrapText="1"/>
    </xf>
    <xf numFmtId="176" fontId="26" fillId="3" borderId="45" xfId="0" applyNumberFormat="1" applyFont="1" applyFill="1" applyBorder="1" applyAlignment="1">
      <alignment horizontal="left" vertical="center" wrapText="1"/>
    </xf>
    <xf numFmtId="176" fontId="26" fillId="3" borderId="46" xfId="0" applyNumberFormat="1" applyFont="1" applyFill="1" applyBorder="1" applyAlignment="1">
      <alignment horizontal="left" vertical="center" wrapText="1"/>
    </xf>
    <xf numFmtId="176" fontId="7" fillId="3" borderId="59" xfId="0" applyNumberFormat="1" applyFont="1" applyFill="1" applyBorder="1" applyAlignment="1">
      <alignment horizontal="left" vertical="center" wrapText="1"/>
    </xf>
    <xf numFmtId="176" fontId="7" fillId="3" borderId="60" xfId="0" applyNumberFormat="1" applyFont="1" applyFill="1" applyBorder="1" applyAlignment="1">
      <alignment horizontal="left" vertical="center" wrapText="1"/>
    </xf>
    <xf numFmtId="176" fontId="7" fillId="3" borderId="50" xfId="0" applyNumberFormat="1" applyFont="1" applyFill="1" applyBorder="1" applyAlignment="1">
      <alignment horizontal="left" vertical="center" wrapText="1"/>
    </xf>
    <xf numFmtId="176" fontId="7" fillId="3" borderId="0" xfId="0" applyNumberFormat="1" applyFont="1" applyFill="1" applyAlignment="1">
      <alignment horizontal="left" vertical="center" wrapText="1"/>
    </xf>
    <xf numFmtId="176" fontId="7" fillId="3" borderId="37" xfId="0" applyNumberFormat="1" applyFont="1" applyFill="1" applyBorder="1" applyAlignment="1">
      <alignment horizontal="left" vertical="center" wrapText="1"/>
    </xf>
    <xf numFmtId="49" fontId="7" fillId="9" borderId="26" xfId="0" applyNumberFormat="1" applyFont="1" applyFill="1" applyBorder="1" applyAlignment="1">
      <alignment vertical="center" wrapText="1"/>
    </xf>
    <xf numFmtId="49" fontId="7" fillId="9" borderId="1" xfId="0" applyNumberFormat="1" applyFont="1" applyFill="1" applyBorder="1" applyAlignment="1">
      <alignment vertical="center" wrapText="1"/>
    </xf>
    <xf numFmtId="49" fontId="7" fillId="9" borderId="16" xfId="0" applyNumberFormat="1" applyFont="1" applyFill="1" applyBorder="1" applyAlignment="1">
      <alignment vertical="center" wrapText="1"/>
    </xf>
    <xf numFmtId="176" fontId="23" fillId="9" borderId="25" xfId="0" applyNumberFormat="1" applyFont="1" applyFill="1" applyBorder="1" applyAlignment="1">
      <alignment horizontal="left" vertical="center"/>
    </xf>
    <xf numFmtId="176" fontId="23" fillId="9" borderId="17" xfId="0" applyNumberFormat="1" applyFont="1" applyFill="1" applyBorder="1" applyAlignment="1">
      <alignment horizontal="left" vertical="center"/>
    </xf>
  </cellXfs>
  <cellStyles count="5">
    <cellStyle name="백분율" xfId="4" builtinId="5"/>
    <cellStyle name="쉼표 [0]" xfId="1" builtinId="6"/>
    <cellStyle name="쉼표 [0] 2" xfId="3" xr:uid="{9E1D2835-1974-4215-A31B-DBAD744354CA}"/>
    <cellStyle name="표준" xfId="0" builtinId="0"/>
    <cellStyle name="표준 2" xfId="2" xr:uid="{213ED47A-4B93-4961-A453-9A4C9C1CA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21</xdr:row>
      <xdr:rowOff>85725</xdr:rowOff>
    </xdr:from>
    <xdr:to>
      <xdr:col>1</xdr:col>
      <xdr:colOff>1114425</xdr:colOff>
      <xdr:row>21</xdr:row>
      <xdr:rowOff>561975</xdr:rowOff>
    </xdr:to>
    <xdr:pic>
      <xdr:nvPicPr>
        <xdr:cNvPr id="2" name="그림 3" descr="사본 -서울시심볼.jpg">
          <a:extLst>
            <a:ext uri="{FF2B5EF4-FFF2-40B4-BE49-F238E27FC236}">
              <a16:creationId xmlns:a16="http://schemas.microsoft.com/office/drawing/2014/main" id="{980E53A1-3A04-4BC5-B66C-D98854915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77225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21</xdr:row>
      <xdr:rowOff>66675</xdr:rowOff>
    </xdr:from>
    <xdr:to>
      <xdr:col>1</xdr:col>
      <xdr:colOff>1152525</xdr:colOff>
      <xdr:row>21</xdr:row>
      <xdr:rowOff>542925</xdr:rowOff>
    </xdr:to>
    <xdr:pic>
      <xdr:nvPicPr>
        <xdr:cNvPr id="3" name="그림 3" descr="사본 -서울시심볼.jpg">
          <a:extLst>
            <a:ext uri="{FF2B5EF4-FFF2-40B4-BE49-F238E27FC236}">
              <a16:creationId xmlns:a16="http://schemas.microsoft.com/office/drawing/2014/main" id="{B543AEAF-AB84-4CF4-8601-69AFB294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8258175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1724025</xdr:colOff>
      <xdr:row>4</xdr:row>
      <xdr:rowOff>409575</xdr:rowOff>
    </xdr:from>
    <xdr:to>
      <xdr:col>1</xdr:col>
      <xdr:colOff>4000500</xdr:colOff>
      <xdr:row>16</xdr:row>
      <xdr:rowOff>190500</xdr:rowOff>
    </xdr:to>
    <xdr:pic>
      <xdr:nvPicPr>
        <xdr:cNvPr id="4" name="그림 1">
          <a:extLst>
            <a:ext uri="{FF2B5EF4-FFF2-40B4-BE49-F238E27FC236}">
              <a16:creationId xmlns:a16="http://schemas.microsoft.com/office/drawing/2014/main" id="{92D4689E-D445-4EE0-9557-9664F85AA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152775"/>
          <a:ext cx="22764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D4FED-CD02-4BB5-ADD3-E28D8B2938DB}">
  <dimension ref="B2:K106"/>
  <sheetViews>
    <sheetView showGridLines="0" view="pageBreakPreview" zoomScale="70" zoomScaleNormal="100" zoomScaleSheetLayoutView="70" workbookViewId="0">
      <selection activeCell="K18" sqref="K18"/>
    </sheetView>
  </sheetViews>
  <sheetFormatPr defaultRowHeight="16.5"/>
  <cols>
    <col min="1" max="1" width="4.88671875" style="28" customWidth="1"/>
    <col min="2" max="2" width="65.33203125" style="28" customWidth="1"/>
    <col min="3" max="256" width="8.88671875" style="28"/>
    <col min="257" max="257" width="4.88671875" style="28" customWidth="1"/>
    <col min="258" max="258" width="65.33203125" style="28" customWidth="1"/>
    <col min="259" max="512" width="8.88671875" style="28"/>
    <col min="513" max="513" width="4.88671875" style="28" customWidth="1"/>
    <col min="514" max="514" width="65.33203125" style="28" customWidth="1"/>
    <col min="515" max="768" width="8.88671875" style="28"/>
    <col min="769" max="769" width="4.88671875" style="28" customWidth="1"/>
    <col min="770" max="770" width="65.33203125" style="28" customWidth="1"/>
    <col min="771" max="1024" width="8.88671875" style="28"/>
    <col min="1025" max="1025" width="4.88671875" style="28" customWidth="1"/>
    <col min="1026" max="1026" width="65.33203125" style="28" customWidth="1"/>
    <col min="1027" max="1280" width="8.88671875" style="28"/>
    <col min="1281" max="1281" width="4.88671875" style="28" customWidth="1"/>
    <col min="1282" max="1282" width="65.33203125" style="28" customWidth="1"/>
    <col min="1283" max="1536" width="8.88671875" style="28"/>
    <col min="1537" max="1537" width="4.88671875" style="28" customWidth="1"/>
    <col min="1538" max="1538" width="65.33203125" style="28" customWidth="1"/>
    <col min="1539" max="1792" width="8.88671875" style="28"/>
    <col min="1793" max="1793" width="4.88671875" style="28" customWidth="1"/>
    <col min="1794" max="1794" width="65.33203125" style="28" customWidth="1"/>
    <col min="1795" max="2048" width="8.88671875" style="28"/>
    <col min="2049" max="2049" width="4.88671875" style="28" customWidth="1"/>
    <col min="2050" max="2050" width="65.33203125" style="28" customWidth="1"/>
    <col min="2051" max="2304" width="8.88671875" style="28"/>
    <col min="2305" max="2305" width="4.88671875" style="28" customWidth="1"/>
    <col min="2306" max="2306" width="65.33203125" style="28" customWidth="1"/>
    <col min="2307" max="2560" width="8.88671875" style="28"/>
    <col min="2561" max="2561" width="4.88671875" style="28" customWidth="1"/>
    <col min="2562" max="2562" width="65.33203125" style="28" customWidth="1"/>
    <col min="2563" max="2816" width="8.88671875" style="28"/>
    <col min="2817" max="2817" width="4.88671875" style="28" customWidth="1"/>
    <col min="2818" max="2818" width="65.33203125" style="28" customWidth="1"/>
    <col min="2819" max="3072" width="8.88671875" style="28"/>
    <col min="3073" max="3073" width="4.88671875" style="28" customWidth="1"/>
    <col min="3074" max="3074" width="65.33203125" style="28" customWidth="1"/>
    <col min="3075" max="3328" width="8.88671875" style="28"/>
    <col min="3329" max="3329" width="4.88671875" style="28" customWidth="1"/>
    <col min="3330" max="3330" width="65.33203125" style="28" customWidth="1"/>
    <col min="3331" max="3584" width="8.88671875" style="28"/>
    <col min="3585" max="3585" width="4.88671875" style="28" customWidth="1"/>
    <col min="3586" max="3586" width="65.33203125" style="28" customWidth="1"/>
    <col min="3587" max="3840" width="8.88671875" style="28"/>
    <col min="3841" max="3841" width="4.88671875" style="28" customWidth="1"/>
    <col min="3842" max="3842" width="65.33203125" style="28" customWidth="1"/>
    <col min="3843" max="4096" width="8.88671875" style="28"/>
    <col min="4097" max="4097" width="4.88671875" style="28" customWidth="1"/>
    <col min="4098" max="4098" width="65.33203125" style="28" customWidth="1"/>
    <col min="4099" max="4352" width="8.88671875" style="28"/>
    <col min="4353" max="4353" width="4.88671875" style="28" customWidth="1"/>
    <col min="4354" max="4354" width="65.33203125" style="28" customWidth="1"/>
    <col min="4355" max="4608" width="8.88671875" style="28"/>
    <col min="4609" max="4609" width="4.88671875" style="28" customWidth="1"/>
    <col min="4610" max="4610" width="65.33203125" style="28" customWidth="1"/>
    <col min="4611" max="4864" width="8.88671875" style="28"/>
    <col min="4865" max="4865" width="4.88671875" style="28" customWidth="1"/>
    <col min="4866" max="4866" width="65.33203125" style="28" customWidth="1"/>
    <col min="4867" max="5120" width="8.88671875" style="28"/>
    <col min="5121" max="5121" width="4.88671875" style="28" customWidth="1"/>
    <col min="5122" max="5122" width="65.33203125" style="28" customWidth="1"/>
    <col min="5123" max="5376" width="8.88671875" style="28"/>
    <col min="5377" max="5377" width="4.88671875" style="28" customWidth="1"/>
    <col min="5378" max="5378" width="65.33203125" style="28" customWidth="1"/>
    <col min="5379" max="5632" width="8.88671875" style="28"/>
    <col min="5633" max="5633" width="4.88671875" style="28" customWidth="1"/>
    <col min="5634" max="5634" width="65.33203125" style="28" customWidth="1"/>
    <col min="5635" max="5888" width="8.88671875" style="28"/>
    <col min="5889" max="5889" width="4.88671875" style="28" customWidth="1"/>
    <col min="5890" max="5890" width="65.33203125" style="28" customWidth="1"/>
    <col min="5891" max="6144" width="8.88671875" style="28"/>
    <col min="6145" max="6145" width="4.88671875" style="28" customWidth="1"/>
    <col min="6146" max="6146" width="65.33203125" style="28" customWidth="1"/>
    <col min="6147" max="6400" width="8.88671875" style="28"/>
    <col min="6401" max="6401" width="4.88671875" style="28" customWidth="1"/>
    <col min="6402" max="6402" width="65.33203125" style="28" customWidth="1"/>
    <col min="6403" max="6656" width="8.88671875" style="28"/>
    <col min="6657" max="6657" width="4.88671875" style="28" customWidth="1"/>
    <col min="6658" max="6658" width="65.33203125" style="28" customWidth="1"/>
    <col min="6659" max="6912" width="8.88671875" style="28"/>
    <col min="6913" max="6913" width="4.88671875" style="28" customWidth="1"/>
    <col min="6914" max="6914" width="65.33203125" style="28" customWidth="1"/>
    <col min="6915" max="7168" width="8.88671875" style="28"/>
    <col min="7169" max="7169" width="4.88671875" style="28" customWidth="1"/>
    <col min="7170" max="7170" width="65.33203125" style="28" customWidth="1"/>
    <col min="7171" max="7424" width="8.88671875" style="28"/>
    <col min="7425" max="7425" width="4.88671875" style="28" customWidth="1"/>
    <col min="7426" max="7426" width="65.33203125" style="28" customWidth="1"/>
    <col min="7427" max="7680" width="8.88671875" style="28"/>
    <col min="7681" max="7681" width="4.88671875" style="28" customWidth="1"/>
    <col min="7682" max="7682" width="65.33203125" style="28" customWidth="1"/>
    <col min="7683" max="7936" width="8.88671875" style="28"/>
    <col min="7937" max="7937" width="4.88671875" style="28" customWidth="1"/>
    <col min="7938" max="7938" width="65.33203125" style="28" customWidth="1"/>
    <col min="7939" max="8192" width="8.88671875" style="28"/>
    <col min="8193" max="8193" width="4.88671875" style="28" customWidth="1"/>
    <col min="8194" max="8194" width="65.33203125" style="28" customWidth="1"/>
    <col min="8195" max="8448" width="8.88671875" style="28"/>
    <col min="8449" max="8449" width="4.88671875" style="28" customWidth="1"/>
    <col min="8450" max="8450" width="65.33203125" style="28" customWidth="1"/>
    <col min="8451" max="8704" width="8.88671875" style="28"/>
    <col min="8705" max="8705" width="4.88671875" style="28" customWidth="1"/>
    <col min="8706" max="8706" width="65.33203125" style="28" customWidth="1"/>
    <col min="8707" max="8960" width="8.88671875" style="28"/>
    <col min="8961" max="8961" width="4.88671875" style="28" customWidth="1"/>
    <col min="8962" max="8962" width="65.33203125" style="28" customWidth="1"/>
    <col min="8963" max="9216" width="8.88671875" style="28"/>
    <col min="9217" max="9217" width="4.88671875" style="28" customWidth="1"/>
    <col min="9218" max="9218" width="65.33203125" style="28" customWidth="1"/>
    <col min="9219" max="9472" width="8.88671875" style="28"/>
    <col min="9473" max="9473" width="4.88671875" style="28" customWidth="1"/>
    <col min="9474" max="9474" width="65.33203125" style="28" customWidth="1"/>
    <col min="9475" max="9728" width="8.88671875" style="28"/>
    <col min="9729" max="9729" width="4.88671875" style="28" customWidth="1"/>
    <col min="9730" max="9730" width="65.33203125" style="28" customWidth="1"/>
    <col min="9731" max="9984" width="8.88671875" style="28"/>
    <col min="9985" max="9985" width="4.88671875" style="28" customWidth="1"/>
    <col min="9986" max="9986" width="65.33203125" style="28" customWidth="1"/>
    <col min="9987" max="10240" width="8.88671875" style="28"/>
    <col min="10241" max="10241" width="4.88671875" style="28" customWidth="1"/>
    <col min="10242" max="10242" width="65.33203125" style="28" customWidth="1"/>
    <col min="10243" max="10496" width="8.88671875" style="28"/>
    <col min="10497" max="10497" width="4.88671875" style="28" customWidth="1"/>
    <col min="10498" max="10498" width="65.33203125" style="28" customWidth="1"/>
    <col min="10499" max="10752" width="8.88671875" style="28"/>
    <col min="10753" max="10753" width="4.88671875" style="28" customWidth="1"/>
    <col min="10754" max="10754" width="65.33203125" style="28" customWidth="1"/>
    <col min="10755" max="11008" width="8.88671875" style="28"/>
    <col min="11009" max="11009" width="4.88671875" style="28" customWidth="1"/>
    <col min="11010" max="11010" width="65.33203125" style="28" customWidth="1"/>
    <col min="11011" max="11264" width="8.88671875" style="28"/>
    <col min="11265" max="11265" width="4.88671875" style="28" customWidth="1"/>
    <col min="11266" max="11266" width="65.33203125" style="28" customWidth="1"/>
    <col min="11267" max="11520" width="8.88671875" style="28"/>
    <col min="11521" max="11521" width="4.88671875" style="28" customWidth="1"/>
    <col min="11522" max="11522" width="65.33203125" style="28" customWidth="1"/>
    <col min="11523" max="11776" width="8.88671875" style="28"/>
    <col min="11777" max="11777" width="4.88671875" style="28" customWidth="1"/>
    <col min="11778" max="11778" width="65.33203125" style="28" customWidth="1"/>
    <col min="11779" max="12032" width="8.88671875" style="28"/>
    <col min="12033" max="12033" width="4.88671875" style="28" customWidth="1"/>
    <col min="12034" max="12034" width="65.33203125" style="28" customWidth="1"/>
    <col min="12035" max="12288" width="8.88671875" style="28"/>
    <col min="12289" max="12289" width="4.88671875" style="28" customWidth="1"/>
    <col min="12290" max="12290" width="65.33203125" style="28" customWidth="1"/>
    <col min="12291" max="12544" width="8.88671875" style="28"/>
    <col min="12545" max="12545" width="4.88671875" style="28" customWidth="1"/>
    <col min="12546" max="12546" width="65.33203125" style="28" customWidth="1"/>
    <col min="12547" max="12800" width="8.88671875" style="28"/>
    <col min="12801" max="12801" width="4.88671875" style="28" customWidth="1"/>
    <col min="12802" max="12802" width="65.33203125" style="28" customWidth="1"/>
    <col min="12803" max="13056" width="8.88671875" style="28"/>
    <col min="13057" max="13057" width="4.88671875" style="28" customWidth="1"/>
    <col min="13058" max="13058" width="65.33203125" style="28" customWidth="1"/>
    <col min="13059" max="13312" width="8.88671875" style="28"/>
    <col min="13313" max="13313" width="4.88671875" style="28" customWidth="1"/>
    <col min="13314" max="13314" width="65.33203125" style="28" customWidth="1"/>
    <col min="13315" max="13568" width="8.88671875" style="28"/>
    <col min="13569" max="13569" width="4.88671875" style="28" customWidth="1"/>
    <col min="13570" max="13570" width="65.33203125" style="28" customWidth="1"/>
    <col min="13571" max="13824" width="8.88671875" style="28"/>
    <col min="13825" max="13825" width="4.88671875" style="28" customWidth="1"/>
    <col min="13826" max="13826" width="65.33203125" style="28" customWidth="1"/>
    <col min="13827" max="14080" width="8.88671875" style="28"/>
    <col min="14081" max="14081" width="4.88671875" style="28" customWidth="1"/>
    <col min="14082" max="14082" width="65.33203125" style="28" customWidth="1"/>
    <col min="14083" max="14336" width="8.88671875" style="28"/>
    <col min="14337" max="14337" width="4.88671875" style="28" customWidth="1"/>
    <col min="14338" max="14338" width="65.33203125" style="28" customWidth="1"/>
    <col min="14339" max="14592" width="8.88671875" style="28"/>
    <col min="14593" max="14593" width="4.88671875" style="28" customWidth="1"/>
    <col min="14594" max="14594" width="65.33203125" style="28" customWidth="1"/>
    <col min="14595" max="14848" width="8.88671875" style="28"/>
    <col min="14849" max="14849" width="4.88671875" style="28" customWidth="1"/>
    <col min="14850" max="14850" width="65.33203125" style="28" customWidth="1"/>
    <col min="14851" max="15104" width="8.88671875" style="28"/>
    <col min="15105" max="15105" width="4.88671875" style="28" customWidth="1"/>
    <col min="15106" max="15106" width="65.33203125" style="28" customWidth="1"/>
    <col min="15107" max="15360" width="8.88671875" style="28"/>
    <col min="15361" max="15361" width="4.88671875" style="28" customWidth="1"/>
    <col min="15362" max="15362" width="65.33203125" style="28" customWidth="1"/>
    <col min="15363" max="15616" width="8.88671875" style="28"/>
    <col min="15617" max="15617" width="4.88671875" style="28" customWidth="1"/>
    <col min="15618" max="15618" width="65.33203125" style="28" customWidth="1"/>
    <col min="15619" max="15872" width="8.88671875" style="28"/>
    <col min="15873" max="15873" width="4.88671875" style="28" customWidth="1"/>
    <col min="15874" max="15874" width="65.33203125" style="28" customWidth="1"/>
    <col min="15875" max="16128" width="8.88671875" style="28"/>
    <col min="16129" max="16129" width="4.88671875" style="28" customWidth="1"/>
    <col min="16130" max="16130" width="65.33203125" style="28" customWidth="1"/>
    <col min="16131" max="16384" width="8.88671875" style="28"/>
  </cols>
  <sheetData>
    <row r="2" spans="2:2" ht="24.75" customHeight="1"/>
    <row r="3" spans="2:2" ht="128.25" customHeight="1">
      <c r="B3" s="258" t="s">
        <v>720</v>
      </c>
    </row>
    <row r="4" spans="2:2" ht="46.5" customHeight="1">
      <c r="B4" s="29"/>
    </row>
    <row r="5" spans="2:2" ht="33.75">
      <c r="B5" s="30"/>
    </row>
    <row r="6" spans="2:2" ht="33.75">
      <c r="B6" s="30"/>
    </row>
    <row r="7" spans="2:2">
      <c r="B7" s="31"/>
    </row>
    <row r="8" spans="2:2">
      <c r="B8" s="31"/>
    </row>
    <row r="9" spans="2:2">
      <c r="B9" s="31"/>
    </row>
    <row r="10" spans="2:2">
      <c r="B10" s="31"/>
    </row>
    <row r="11" spans="2:2">
      <c r="B11" s="31"/>
    </row>
    <row r="18" spans="2:2" ht="45">
      <c r="B18" s="32"/>
    </row>
    <row r="19" spans="2:2" ht="45">
      <c r="B19" s="32"/>
    </row>
    <row r="20" spans="2:2" ht="45">
      <c r="B20" s="32"/>
    </row>
    <row r="21" spans="2:2" ht="45">
      <c r="B21" s="32"/>
    </row>
    <row r="22" spans="2:2" ht="45" customHeight="1">
      <c r="B22" s="33" t="s">
        <v>29</v>
      </c>
    </row>
    <row r="105" spans="4:11" ht="17.25" thickBot="1"/>
    <row r="106" spans="4:11" ht="21" customHeight="1" thickBot="1">
      <c r="D106" s="1423" t="s">
        <v>26</v>
      </c>
      <c r="E106" s="1423"/>
      <c r="F106" s="34"/>
      <c r="G106" s="34"/>
      <c r="H106" s="34"/>
      <c r="I106" s="34"/>
      <c r="J106" s="34"/>
      <c r="K106" s="34"/>
    </row>
  </sheetData>
  <mergeCells count="1">
    <mergeCell ref="D106:E10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42129-668F-40F9-A9A1-5DA3FF28B15F}">
  <sheetPr>
    <pageSetUpPr fitToPage="1"/>
  </sheetPr>
  <dimension ref="A2:N78"/>
  <sheetViews>
    <sheetView view="pageBreakPreview" topLeftCell="E10" zoomScale="115" zoomScaleNormal="100" zoomScaleSheetLayoutView="115" workbookViewId="0">
      <selection activeCell="F11" sqref="F11"/>
    </sheetView>
  </sheetViews>
  <sheetFormatPr defaultRowHeight="16.5"/>
  <cols>
    <col min="1" max="2" width="13.77734375" style="193" customWidth="1"/>
    <col min="3" max="6" width="20.77734375" style="196" customWidth="1"/>
    <col min="7" max="8" width="13.77734375" style="193" customWidth="1"/>
    <col min="9" max="11" width="20.77734375" style="193" customWidth="1"/>
    <col min="12" max="12" width="20.77734375" style="196" customWidth="1"/>
    <col min="13" max="13" width="12.21875" style="193" customWidth="1"/>
    <col min="14" max="14" width="10.44140625" style="193" bestFit="1" customWidth="1"/>
    <col min="15" max="15" width="8.88671875" style="193"/>
    <col min="16" max="16" width="12.77734375" style="193" bestFit="1" customWidth="1"/>
    <col min="17" max="256" width="8.88671875" style="193"/>
    <col min="257" max="257" width="18.44140625" style="193" bestFit="1" customWidth="1"/>
    <col min="258" max="258" width="18.44140625" style="193" customWidth="1"/>
    <col min="259" max="262" width="12.77734375" style="193" customWidth="1"/>
    <col min="263" max="264" width="18.44140625" style="193" customWidth="1"/>
    <col min="265" max="268" width="12.77734375" style="193" customWidth="1"/>
    <col min="269" max="269" width="12.21875" style="193" customWidth="1"/>
    <col min="270" max="271" width="8.88671875" style="193"/>
    <col min="272" max="272" width="12.77734375" style="193" bestFit="1" customWidth="1"/>
    <col min="273" max="512" width="8.88671875" style="193"/>
    <col min="513" max="513" width="18.44140625" style="193" bestFit="1" customWidth="1"/>
    <col min="514" max="514" width="18.44140625" style="193" customWidth="1"/>
    <col min="515" max="518" width="12.77734375" style="193" customWidth="1"/>
    <col min="519" max="520" width="18.44140625" style="193" customWidth="1"/>
    <col min="521" max="524" width="12.77734375" style="193" customWidth="1"/>
    <col min="525" max="525" width="12.21875" style="193" customWidth="1"/>
    <col min="526" max="527" width="8.88671875" style="193"/>
    <col min="528" max="528" width="12.77734375" style="193" bestFit="1" customWidth="1"/>
    <col min="529" max="768" width="8.88671875" style="193"/>
    <col min="769" max="769" width="18.44140625" style="193" bestFit="1" customWidth="1"/>
    <col min="770" max="770" width="18.44140625" style="193" customWidth="1"/>
    <col min="771" max="774" width="12.77734375" style="193" customWidth="1"/>
    <col min="775" max="776" width="18.44140625" style="193" customWidth="1"/>
    <col min="777" max="780" width="12.77734375" style="193" customWidth="1"/>
    <col min="781" max="781" width="12.21875" style="193" customWidth="1"/>
    <col min="782" max="783" width="8.88671875" style="193"/>
    <col min="784" max="784" width="12.77734375" style="193" bestFit="1" customWidth="1"/>
    <col min="785" max="1024" width="8.88671875" style="193"/>
    <col min="1025" max="1025" width="18.44140625" style="193" bestFit="1" customWidth="1"/>
    <col min="1026" max="1026" width="18.44140625" style="193" customWidth="1"/>
    <col min="1027" max="1030" width="12.77734375" style="193" customWidth="1"/>
    <col min="1031" max="1032" width="18.44140625" style="193" customWidth="1"/>
    <col min="1033" max="1036" width="12.77734375" style="193" customWidth="1"/>
    <col min="1037" max="1037" width="12.21875" style="193" customWidth="1"/>
    <col min="1038" max="1039" width="8.88671875" style="193"/>
    <col min="1040" max="1040" width="12.77734375" style="193" bestFit="1" customWidth="1"/>
    <col min="1041" max="1280" width="8.88671875" style="193"/>
    <col min="1281" max="1281" width="18.44140625" style="193" bestFit="1" customWidth="1"/>
    <col min="1282" max="1282" width="18.44140625" style="193" customWidth="1"/>
    <col min="1283" max="1286" width="12.77734375" style="193" customWidth="1"/>
    <col min="1287" max="1288" width="18.44140625" style="193" customWidth="1"/>
    <col min="1289" max="1292" width="12.77734375" style="193" customWidth="1"/>
    <col min="1293" max="1293" width="12.21875" style="193" customWidth="1"/>
    <col min="1294" max="1295" width="8.88671875" style="193"/>
    <col min="1296" max="1296" width="12.77734375" style="193" bestFit="1" customWidth="1"/>
    <col min="1297" max="1536" width="8.88671875" style="193"/>
    <col min="1537" max="1537" width="18.44140625" style="193" bestFit="1" customWidth="1"/>
    <col min="1538" max="1538" width="18.44140625" style="193" customWidth="1"/>
    <col min="1539" max="1542" width="12.77734375" style="193" customWidth="1"/>
    <col min="1543" max="1544" width="18.44140625" style="193" customWidth="1"/>
    <col min="1545" max="1548" width="12.77734375" style="193" customWidth="1"/>
    <col min="1549" max="1549" width="12.21875" style="193" customWidth="1"/>
    <col min="1550" max="1551" width="8.88671875" style="193"/>
    <col min="1552" max="1552" width="12.77734375" style="193" bestFit="1" customWidth="1"/>
    <col min="1553" max="1792" width="8.88671875" style="193"/>
    <col min="1793" max="1793" width="18.44140625" style="193" bestFit="1" customWidth="1"/>
    <col min="1794" max="1794" width="18.44140625" style="193" customWidth="1"/>
    <col min="1795" max="1798" width="12.77734375" style="193" customWidth="1"/>
    <col min="1799" max="1800" width="18.44140625" style="193" customWidth="1"/>
    <col min="1801" max="1804" width="12.77734375" style="193" customWidth="1"/>
    <col min="1805" max="1805" width="12.21875" style="193" customWidth="1"/>
    <col min="1806" max="1807" width="8.88671875" style="193"/>
    <col min="1808" max="1808" width="12.77734375" style="193" bestFit="1" customWidth="1"/>
    <col min="1809" max="2048" width="8.88671875" style="193"/>
    <col min="2049" max="2049" width="18.44140625" style="193" bestFit="1" customWidth="1"/>
    <col min="2050" max="2050" width="18.44140625" style="193" customWidth="1"/>
    <col min="2051" max="2054" width="12.77734375" style="193" customWidth="1"/>
    <col min="2055" max="2056" width="18.44140625" style="193" customWidth="1"/>
    <col min="2057" max="2060" width="12.77734375" style="193" customWidth="1"/>
    <col min="2061" max="2061" width="12.21875" style="193" customWidth="1"/>
    <col min="2062" max="2063" width="8.88671875" style="193"/>
    <col min="2064" max="2064" width="12.77734375" style="193" bestFit="1" customWidth="1"/>
    <col min="2065" max="2304" width="8.88671875" style="193"/>
    <col min="2305" max="2305" width="18.44140625" style="193" bestFit="1" customWidth="1"/>
    <col min="2306" max="2306" width="18.44140625" style="193" customWidth="1"/>
    <col min="2307" max="2310" width="12.77734375" style="193" customWidth="1"/>
    <col min="2311" max="2312" width="18.44140625" style="193" customWidth="1"/>
    <col min="2313" max="2316" width="12.77734375" style="193" customWidth="1"/>
    <col min="2317" max="2317" width="12.21875" style="193" customWidth="1"/>
    <col min="2318" max="2319" width="8.88671875" style="193"/>
    <col min="2320" max="2320" width="12.77734375" style="193" bestFit="1" customWidth="1"/>
    <col min="2321" max="2560" width="8.88671875" style="193"/>
    <col min="2561" max="2561" width="18.44140625" style="193" bestFit="1" customWidth="1"/>
    <col min="2562" max="2562" width="18.44140625" style="193" customWidth="1"/>
    <col min="2563" max="2566" width="12.77734375" style="193" customWidth="1"/>
    <col min="2567" max="2568" width="18.44140625" style="193" customWidth="1"/>
    <col min="2569" max="2572" width="12.77734375" style="193" customWidth="1"/>
    <col min="2573" max="2573" width="12.21875" style="193" customWidth="1"/>
    <col min="2574" max="2575" width="8.88671875" style="193"/>
    <col min="2576" max="2576" width="12.77734375" style="193" bestFit="1" customWidth="1"/>
    <col min="2577" max="2816" width="8.88671875" style="193"/>
    <col min="2817" max="2817" width="18.44140625" style="193" bestFit="1" customWidth="1"/>
    <col min="2818" max="2818" width="18.44140625" style="193" customWidth="1"/>
    <col min="2819" max="2822" width="12.77734375" style="193" customWidth="1"/>
    <col min="2823" max="2824" width="18.44140625" style="193" customWidth="1"/>
    <col min="2825" max="2828" width="12.77734375" style="193" customWidth="1"/>
    <col min="2829" max="2829" width="12.21875" style="193" customWidth="1"/>
    <col min="2830" max="2831" width="8.88671875" style="193"/>
    <col min="2832" max="2832" width="12.77734375" style="193" bestFit="1" customWidth="1"/>
    <col min="2833" max="3072" width="8.88671875" style="193"/>
    <col min="3073" max="3073" width="18.44140625" style="193" bestFit="1" customWidth="1"/>
    <col min="3074" max="3074" width="18.44140625" style="193" customWidth="1"/>
    <col min="3075" max="3078" width="12.77734375" style="193" customWidth="1"/>
    <col min="3079" max="3080" width="18.44140625" style="193" customWidth="1"/>
    <col min="3081" max="3084" width="12.77734375" style="193" customWidth="1"/>
    <col min="3085" max="3085" width="12.21875" style="193" customWidth="1"/>
    <col min="3086" max="3087" width="8.88671875" style="193"/>
    <col min="3088" max="3088" width="12.77734375" style="193" bestFit="1" customWidth="1"/>
    <col min="3089" max="3328" width="8.88671875" style="193"/>
    <col min="3329" max="3329" width="18.44140625" style="193" bestFit="1" customWidth="1"/>
    <col min="3330" max="3330" width="18.44140625" style="193" customWidth="1"/>
    <col min="3331" max="3334" width="12.77734375" style="193" customWidth="1"/>
    <col min="3335" max="3336" width="18.44140625" style="193" customWidth="1"/>
    <col min="3337" max="3340" width="12.77734375" style="193" customWidth="1"/>
    <col min="3341" max="3341" width="12.21875" style="193" customWidth="1"/>
    <col min="3342" max="3343" width="8.88671875" style="193"/>
    <col min="3344" max="3344" width="12.77734375" style="193" bestFit="1" customWidth="1"/>
    <col min="3345" max="3584" width="8.88671875" style="193"/>
    <col min="3585" max="3585" width="18.44140625" style="193" bestFit="1" customWidth="1"/>
    <col min="3586" max="3586" width="18.44140625" style="193" customWidth="1"/>
    <col min="3587" max="3590" width="12.77734375" style="193" customWidth="1"/>
    <col min="3591" max="3592" width="18.44140625" style="193" customWidth="1"/>
    <col min="3593" max="3596" width="12.77734375" style="193" customWidth="1"/>
    <col min="3597" max="3597" width="12.21875" style="193" customWidth="1"/>
    <col min="3598" max="3599" width="8.88671875" style="193"/>
    <col min="3600" max="3600" width="12.77734375" style="193" bestFit="1" customWidth="1"/>
    <col min="3601" max="3840" width="8.88671875" style="193"/>
    <col min="3841" max="3841" width="18.44140625" style="193" bestFit="1" customWidth="1"/>
    <col min="3842" max="3842" width="18.44140625" style="193" customWidth="1"/>
    <col min="3843" max="3846" width="12.77734375" style="193" customWidth="1"/>
    <col min="3847" max="3848" width="18.44140625" style="193" customWidth="1"/>
    <col min="3849" max="3852" width="12.77734375" style="193" customWidth="1"/>
    <col min="3853" max="3853" width="12.21875" style="193" customWidth="1"/>
    <col min="3854" max="3855" width="8.88671875" style="193"/>
    <col min="3856" max="3856" width="12.77734375" style="193" bestFit="1" customWidth="1"/>
    <col min="3857" max="4096" width="8.88671875" style="193"/>
    <col min="4097" max="4097" width="18.44140625" style="193" bestFit="1" customWidth="1"/>
    <col min="4098" max="4098" width="18.44140625" style="193" customWidth="1"/>
    <col min="4099" max="4102" width="12.77734375" style="193" customWidth="1"/>
    <col min="4103" max="4104" width="18.44140625" style="193" customWidth="1"/>
    <col min="4105" max="4108" width="12.77734375" style="193" customWidth="1"/>
    <col min="4109" max="4109" width="12.21875" style="193" customWidth="1"/>
    <col min="4110" max="4111" width="8.88671875" style="193"/>
    <col min="4112" max="4112" width="12.77734375" style="193" bestFit="1" customWidth="1"/>
    <col min="4113" max="4352" width="8.88671875" style="193"/>
    <col min="4353" max="4353" width="18.44140625" style="193" bestFit="1" customWidth="1"/>
    <col min="4354" max="4354" width="18.44140625" style="193" customWidth="1"/>
    <col min="4355" max="4358" width="12.77734375" style="193" customWidth="1"/>
    <col min="4359" max="4360" width="18.44140625" style="193" customWidth="1"/>
    <col min="4361" max="4364" width="12.77734375" style="193" customWidth="1"/>
    <col min="4365" max="4365" width="12.21875" style="193" customWidth="1"/>
    <col min="4366" max="4367" width="8.88671875" style="193"/>
    <col min="4368" max="4368" width="12.77734375" style="193" bestFit="1" customWidth="1"/>
    <col min="4369" max="4608" width="8.88671875" style="193"/>
    <col min="4609" max="4609" width="18.44140625" style="193" bestFit="1" customWidth="1"/>
    <col min="4610" max="4610" width="18.44140625" style="193" customWidth="1"/>
    <col min="4611" max="4614" width="12.77734375" style="193" customWidth="1"/>
    <col min="4615" max="4616" width="18.44140625" style="193" customWidth="1"/>
    <col min="4617" max="4620" width="12.77734375" style="193" customWidth="1"/>
    <col min="4621" max="4621" width="12.21875" style="193" customWidth="1"/>
    <col min="4622" max="4623" width="8.88671875" style="193"/>
    <col min="4624" max="4624" width="12.77734375" style="193" bestFit="1" customWidth="1"/>
    <col min="4625" max="4864" width="8.88671875" style="193"/>
    <col min="4865" max="4865" width="18.44140625" style="193" bestFit="1" customWidth="1"/>
    <col min="4866" max="4866" width="18.44140625" style="193" customWidth="1"/>
    <col min="4867" max="4870" width="12.77734375" style="193" customWidth="1"/>
    <col min="4871" max="4872" width="18.44140625" style="193" customWidth="1"/>
    <col min="4873" max="4876" width="12.77734375" style="193" customWidth="1"/>
    <col min="4877" max="4877" width="12.21875" style="193" customWidth="1"/>
    <col min="4878" max="4879" width="8.88671875" style="193"/>
    <col min="4880" max="4880" width="12.77734375" style="193" bestFit="1" customWidth="1"/>
    <col min="4881" max="5120" width="8.88671875" style="193"/>
    <col min="5121" max="5121" width="18.44140625" style="193" bestFit="1" customWidth="1"/>
    <col min="5122" max="5122" width="18.44140625" style="193" customWidth="1"/>
    <col min="5123" max="5126" width="12.77734375" style="193" customWidth="1"/>
    <col min="5127" max="5128" width="18.44140625" style="193" customWidth="1"/>
    <col min="5129" max="5132" width="12.77734375" style="193" customWidth="1"/>
    <col min="5133" max="5133" width="12.21875" style="193" customWidth="1"/>
    <col min="5134" max="5135" width="8.88671875" style="193"/>
    <col min="5136" max="5136" width="12.77734375" style="193" bestFit="1" customWidth="1"/>
    <col min="5137" max="5376" width="8.88671875" style="193"/>
    <col min="5377" max="5377" width="18.44140625" style="193" bestFit="1" customWidth="1"/>
    <col min="5378" max="5378" width="18.44140625" style="193" customWidth="1"/>
    <col min="5379" max="5382" width="12.77734375" style="193" customWidth="1"/>
    <col min="5383" max="5384" width="18.44140625" style="193" customWidth="1"/>
    <col min="5385" max="5388" width="12.77734375" style="193" customWidth="1"/>
    <col min="5389" max="5389" width="12.21875" style="193" customWidth="1"/>
    <col min="5390" max="5391" width="8.88671875" style="193"/>
    <col min="5392" max="5392" width="12.77734375" style="193" bestFit="1" customWidth="1"/>
    <col min="5393" max="5632" width="8.88671875" style="193"/>
    <col min="5633" max="5633" width="18.44140625" style="193" bestFit="1" customWidth="1"/>
    <col min="5634" max="5634" width="18.44140625" style="193" customWidth="1"/>
    <col min="5635" max="5638" width="12.77734375" style="193" customWidth="1"/>
    <col min="5639" max="5640" width="18.44140625" style="193" customWidth="1"/>
    <col min="5641" max="5644" width="12.77734375" style="193" customWidth="1"/>
    <col min="5645" max="5645" width="12.21875" style="193" customWidth="1"/>
    <col min="5646" max="5647" width="8.88671875" style="193"/>
    <col min="5648" max="5648" width="12.77734375" style="193" bestFit="1" customWidth="1"/>
    <col min="5649" max="5888" width="8.88671875" style="193"/>
    <col min="5889" max="5889" width="18.44140625" style="193" bestFit="1" customWidth="1"/>
    <col min="5890" max="5890" width="18.44140625" style="193" customWidth="1"/>
    <col min="5891" max="5894" width="12.77734375" style="193" customWidth="1"/>
    <col min="5895" max="5896" width="18.44140625" style="193" customWidth="1"/>
    <col min="5897" max="5900" width="12.77734375" style="193" customWidth="1"/>
    <col min="5901" max="5901" width="12.21875" style="193" customWidth="1"/>
    <col min="5902" max="5903" width="8.88671875" style="193"/>
    <col min="5904" max="5904" width="12.77734375" style="193" bestFit="1" customWidth="1"/>
    <col min="5905" max="6144" width="8.88671875" style="193"/>
    <col min="6145" max="6145" width="18.44140625" style="193" bestFit="1" customWidth="1"/>
    <col min="6146" max="6146" width="18.44140625" style="193" customWidth="1"/>
    <col min="6147" max="6150" width="12.77734375" style="193" customWidth="1"/>
    <col min="6151" max="6152" width="18.44140625" style="193" customWidth="1"/>
    <col min="6153" max="6156" width="12.77734375" style="193" customWidth="1"/>
    <col min="6157" max="6157" width="12.21875" style="193" customWidth="1"/>
    <col min="6158" max="6159" width="8.88671875" style="193"/>
    <col min="6160" max="6160" width="12.77734375" style="193" bestFit="1" customWidth="1"/>
    <col min="6161" max="6400" width="8.88671875" style="193"/>
    <col min="6401" max="6401" width="18.44140625" style="193" bestFit="1" customWidth="1"/>
    <col min="6402" max="6402" width="18.44140625" style="193" customWidth="1"/>
    <col min="6403" max="6406" width="12.77734375" style="193" customWidth="1"/>
    <col min="6407" max="6408" width="18.44140625" style="193" customWidth="1"/>
    <col min="6409" max="6412" width="12.77734375" style="193" customWidth="1"/>
    <col min="6413" max="6413" width="12.21875" style="193" customWidth="1"/>
    <col min="6414" max="6415" width="8.88671875" style="193"/>
    <col min="6416" max="6416" width="12.77734375" style="193" bestFit="1" customWidth="1"/>
    <col min="6417" max="6656" width="8.88671875" style="193"/>
    <col min="6657" max="6657" width="18.44140625" style="193" bestFit="1" customWidth="1"/>
    <col min="6658" max="6658" width="18.44140625" style="193" customWidth="1"/>
    <col min="6659" max="6662" width="12.77734375" style="193" customWidth="1"/>
    <col min="6663" max="6664" width="18.44140625" style="193" customWidth="1"/>
    <col min="6665" max="6668" width="12.77734375" style="193" customWidth="1"/>
    <col min="6669" max="6669" width="12.21875" style="193" customWidth="1"/>
    <col min="6670" max="6671" width="8.88671875" style="193"/>
    <col min="6672" max="6672" width="12.77734375" style="193" bestFit="1" customWidth="1"/>
    <col min="6673" max="6912" width="8.88671875" style="193"/>
    <col min="6913" max="6913" width="18.44140625" style="193" bestFit="1" customWidth="1"/>
    <col min="6914" max="6914" width="18.44140625" style="193" customWidth="1"/>
    <col min="6915" max="6918" width="12.77734375" style="193" customWidth="1"/>
    <col min="6919" max="6920" width="18.44140625" style="193" customWidth="1"/>
    <col min="6921" max="6924" width="12.77734375" style="193" customWidth="1"/>
    <col min="6925" max="6925" width="12.21875" style="193" customWidth="1"/>
    <col min="6926" max="6927" width="8.88671875" style="193"/>
    <col min="6928" max="6928" width="12.77734375" style="193" bestFit="1" customWidth="1"/>
    <col min="6929" max="7168" width="8.88671875" style="193"/>
    <col min="7169" max="7169" width="18.44140625" style="193" bestFit="1" customWidth="1"/>
    <col min="7170" max="7170" width="18.44140625" style="193" customWidth="1"/>
    <col min="7171" max="7174" width="12.77734375" style="193" customWidth="1"/>
    <col min="7175" max="7176" width="18.44140625" style="193" customWidth="1"/>
    <col min="7177" max="7180" width="12.77734375" style="193" customWidth="1"/>
    <col min="7181" max="7181" width="12.21875" style="193" customWidth="1"/>
    <col min="7182" max="7183" width="8.88671875" style="193"/>
    <col min="7184" max="7184" width="12.77734375" style="193" bestFit="1" customWidth="1"/>
    <col min="7185" max="7424" width="8.88671875" style="193"/>
    <col min="7425" max="7425" width="18.44140625" style="193" bestFit="1" customWidth="1"/>
    <col min="7426" max="7426" width="18.44140625" style="193" customWidth="1"/>
    <col min="7427" max="7430" width="12.77734375" style="193" customWidth="1"/>
    <col min="7431" max="7432" width="18.44140625" style="193" customWidth="1"/>
    <col min="7433" max="7436" width="12.77734375" style="193" customWidth="1"/>
    <col min="7437" max="7437" width="12.21875" style="193" customWidth="1"/>
    <col min="7438" max="7439" width="8.88671875" style="193"/>
    <col min="7440" max="7440" width="12.77734375" style="193" bestFit="1" customWidth="1"/>
    <col min="7441" max="7680" width="8.88671875" style="193"/>
    <col min="7681" max="7681" width="18.44140625" style="193" bestFit="1" customWidth="1"/>
    <col min="7682" max="7682" width="18.44140625" style="193" customWidth="1"/>
    <col min="7683" max="7686" width="12.77734375" style="193" customWidth="1"/>
    <col min="7687" max="7688" width="18.44140625" style="193" customWidth="1"/>
    <col min="7689" max="7692" width="12.77734375" style="193" customWidth="1"/>
    <col min="7693" max="7693" width="12.21875" style="193" customWidth="1"/>
    <col min="7694" max="7695" width="8.88671875" style="193"/>
    <col min="7696" max="7696" width="12.77734375" style="193" bestFit="1" customWidth="1"/>
    <col min="7697" max="7936" width="8.88671875" style="193"/>
    <col min="7937" max="7937" width="18.44140625" style="193" bestFit="1" customWidth="1"/>
    <col min="7938" max="7938" width="18.44140625" style="193" customWidth="1"/>
    <col min="7939" max="7942" width="12.77734375" style="193" customWidth="1"/>
    <col min="7943" max="7944" width="18.44140625" style="193" customWidth="1"/>
    <col min="7945" max="7948" width="12.77734375" style="193" customWidth="1"/>
    <col min="7949" max="7949" width="12.21875" style="193" customWidth="1"/>
    <col min="7950" max="7951" width="8.88671875" style="193"/>
    <col min="7952" max="7952" width="12.77734375" style="193" bestFit="1" customWidth="1"/>
    <col min="7953" max="8192" width="8.88671875" style="193"/>
    <col min="8193" max="8193" width="18.44140625" style="193" bestFit="1" customWidth="1"/>
    <col min="8194" max="8194" width="18.44140625" style="193" customWidth="1"/>
    <col min="8195" max="8198" width="12.77734375" style="193" customWidth="1"/>
    <col min="8199" max="8200" width="18.44140625" style="193" customWidth="1"/>
    <col min="8201" max="8204" width="12.77734375" style="193" customWidth="1"/>
    <col min="8205" max="8205" width="12.21875" style="193" customWidth="1"/>
    <col min="8206" max="8207" width="8.88671875" style="193"/>
    <col min="8208" max="8208" width="12.77734375" style="193" bestFit="1" customWidth="1"/>
    <col min="8209" max="8448" width="8.88671875" style="193"/>
    <col min="8449" max="8449" width="18.44140625" style="193" bestFit="1" customWidth="1"/>
    <col min="8450" max="8450" width="18.44140625" style="193" customWidth="1"/>
    <col min="8451" max="8454" width="12.77734375" style="193" customWidth="1"/>
    <col min="8455" max="8456" width="18.44140625" style="193" customWidth="1"/>
    <col min="8457" max="8460" width="12.77734375" style="193" customWidth="1"/>
    <col min="8461" max="8461" width="12.21875" style="193" customWidth="1"/>
    <col min="8462" max="8463" width="8.88671875" style="193"/>
    <col min="8464" max="8464" width="12.77734375" style="193" bestFit="1" customWidth="1"/>
    <col min="8465" max="8704" width="8.88671875" style="193"/>
    <col min="8705" max="8705" width="18.44140625" style="193" bestFit="1" customWidth="1"/>
    <col min="8706" max="8706" width="18.44140625" style="193" customWidth="1"/>
    <col min="8707" max="8710" width="12.77734375" style="193" customWidth="1"/>
    <col min="8711" max="8712" width="18.44140625" style="193" customWidth="1"/>
    <col min="8713" max="8716" width="12.77734375" style="193" customWidth="1"/>
    <col min="8717" max="8717" width="12.21875" style="193" customWidth="1"/>
    <col min="8718" max="8719" width="8.88671875" style="193"/>
    <col min="8720" max="8720" width="12.77734375" style="193" bestFit="1" customWidth="1"/>
    <col min="8721" max="8960" width="8.88671875" style="193"/>
    <col min="8961" max="8961" width="18.44140625" style="193" bestFit="1" customWidth="1"/>
    <col min="8962" max="8962" width="18.44140625" style="193" customWidth="1"/>
    <col min="8963" max="8966" width="12.77734375" style="193" customWidth="1"/>
    <col min="8967" max="8968" width="18.44140625" style="193" customWidth="1"/>
    <col min="8969" max="8972" width="12.77734375" style="193" customWidth="1"/>
    <col min="8973" max="8973" width="12.21875" style="193" customWidth="1"/>
    <col min="8974" max="8975" width="8.88671875" style="193"/>
    <col min="8976" max="8976" width="12.77734375" style="193" bestFit="1" customWidth="1"/>
    <col min="8977" max="9216" width="8.88671875" style="193"/>
    <col min="9217" max="9217" width="18.44140625" style="193" bestFit="1" customWidth="1"/>
    <col min="9218" max="9218" width="18.44140625" style="193" customWidth="1"/>
    <col min="9219" max="9222" width="12.77734375" style="193" customWidth="1"/>
    <col min="9223" max="9224" width="18.44140625" style="193" customWidth="1"/>
    <col min="9225" max="9228" width="12.77734375" style="193" customWidth="1"/>
    <col min="9229" max="9229" width="12.21875" style="193" customWidth="1"/>
    <col min="9230" max="9231" width="8.88671875" style="193"/>
    <col min="9232" max="9232" width="12.77734375" style="193" bestFit="1" customWidth="1"/>
    <col min="9233" max="9472" width="8.88671875" style="193"/>
    <col min="9473" max="9473" width="18.44140625" style="193" bestFit="1" customWidth="1"/>
    <col min="9474" max="9474" width="18.44140625" style="193" customWidth="1"/>
    <col min="9475" max="9478" width="12.77734375" style="193" customWidth="1"/>
    <col min="9479" max="9480" width="18.44140625" style="193" customWidth="1"/>
    <col min="9481" max="9484" width="12.77734375" style="193" customWidth="1"/>
    <col min="9485" max="9485" width="12.21875" style="193" customWidth="1"/>
    <col min="9486" max="9487" width="8.88671875" style="193"/>
    <col min="9488" max="9488" width="12.77734375" style="193" bestFit="1" customWidth="1"/>
    <col min="9489" max="9728" width="8.88671875" style="193"/>
    <col min="9729" max="9729" width="18.44140625" style="193" bestFit="1" customWidth="1"/>
    <col min="9730" max="9730" width="18.44140625" style="193" customWidth="1"/>
    <col min="9731" max="9734" width="12.77734375" style="193" customWidth="1"/>
    <col min="9735" max="9736" width="18.44140625" style="193" customWidth="1"/>
    <col min="9737" max="9740" width="12.77734375" style="193" customWidth="1"/>
    <col min="9741" max="9741" width="12.21875" style="193" customWidth="1"/>
    <col min="9742" max="9743" width="8.88671875" style="193"/>
    <col min="9744" max="9744" width="12.77734375" style="193" bestFit="1" customWidth="1"/>
    <col min="9745" max="9984" width="8.88671875" style="193"/>
    <col min="9985" max="9985" width="18.44140625" style="193" bestFit="1" customWidth="1"/>
    <col min="9986" max="9986" width="18.44140625" style="193" customWidth="1"/>
    <col min="9987" max="9990" width="12.77734375" style="193" customWidth="1"/>
    <col min="9991" max="9992" width="18.44140625" style="193" customWidth="1"/>
    <col min="9993" max="9996" width="12.77734375" style="193" customWidth="1"/>
    <col min="9997" max="9997" width="12.21875" style="193" customWidth="1"/>
    <col min="9998" max="9999" width="8.88671875" style="193"/>
    <col min="10000" max="10000" width="12.77734375" style="193" bestFit="1" customWidth="1"/>
    <col min="10001" max="10240" width="8.88671875" style="193"/>
    <col min="10241" max="10241" width="18.44140625" style="193" bestFit="1" customWidth="1"/>
    <col min="10242" max="10242" width="18.44140625" style="193" customWidth="1"/>
    <col min="10243" max="10246" width="12.77734375" style="193" customWidth="1"/>
    <col min="10247" max="10248" width="18.44140625" style="193" customWidth="1"/>
    <col min="10249" max="10252" width="12.77734375" style="193" customWidth="1"/>
    <col min="10253" max="10253" width="12.21875" style="193" customWidth="1"/>
    <col min="10254" max="10255" width="8.88671875" style="193"/>
    <col min="10256" max="10256" width="12.77734375" style="193" bestFit="1" customWidth="1"/>
    <col min="10257" max="10496" width="8.88671875" style="193"/>
    <col min="10497" max="10497" width="18.44140625" style="193" bestFit="1" customWidth="1"/>
    <col min="10498" max="10498" width="18.44140625" style="193" customWidth="1"/>
    <col min="10499" max="10502" width="12.77734375" style="193" customWidth="1"/>
    <col min="10503" max="10504" width="18.44140625" style="193" customWidth="1"/>
    <col min="10505" max="10508" width="12.77734375" style="193" customWidth="1"/>
    <col min="10509" max="10509" width="12.21875" style="193" customWidth="1"/>
    <col min="10510" max="10511" width="8.88671875" style="193"/>
    <col min="10512" max="10512" width="12.77734375" style="193" bestFit="1" customWidth="1"/>
    <col min="10513" max="10752" width="8.88671875" style="193"/>
    <col min="10753" max="10753" width="18.44140625" style="193" bestFit="1" customWidth="1"/>
    <col min="10754" max="10754" width="18.44140625" style="193" customWidth="1"/>
    <col min="10755" max="10758" width="12.77734375" style="193" customWidth="1"/>
    <col min="10759" max="10760" width="18.44140625" style="193" customWidth="1"/>
    <col min="10761" max="10764" width="12.77734375" style="193" customWidth="1"/>
    <col min="10765" max="10765" width="12.21875" style="193" customWidth="1"/>
    <col min="10766" max="10767" width="8.88671875" style="193"/>
    <col min="10768" max="10768" width="12.77734375" style="193" bestFit="1" customWidth="1"/>
    <col min="10769" max="11008" width="8.88671875" style="193"/>
    <col min="11009" max="11009" width="18.44140625" style="193" bestFit="1" customWidth="1"/>
    <col min="11010" max="11010" width="18.44140625" style="193" customWidth="1"/>
    <col min="11011" max="11014" width="12.77734375" style="193" customWidth="1"/>
    <col min="11015" max="11016" width="18.44140625" style="193" customWidth="1"/>
    <col min="11017" max="11020" width="12.77734375" style="193" customWidth="1"/>
    <col min="11021" max="11021" width="12.21875" style="193" customWidth="1"/>
    <col min="11022" max="11023" width="8.88671875" style="193"/>
    <col min="11024" max="11024" width="12.77734375" style="193" bestFit="1" customWidth="1"/>
    <col min="11025" max="11264" width="8.88671875" style="193"/>
    <col min="11265" max="11265" width="18.44140625" style="193" bestFit="1" customWidth="1"/>
    <col min="11266" max="11266" width="18.44140625" style="193" customWidth="1"/>
    <col min="11267" max="11270" width="12.77734375" style="193" customWidth="1"/>
    <col min="11271" max="11272" width="18.44140625" style="193" customWidth="1"/>
    <col min="11273" max="11276" width="12.77734375" style="193" customWidth="1"/>
    <col min="11277" max="11277" width="12.21875" style="193" customWidth="1"/>
    <col min="11278" max="11279" width="8.88671875" style="193"/>
    <col min="11280" max="11280" width="12.77734375" style="193" bestFit="1" customWidth="1"/>
    <col min="11281" max="11520" width="8.88671875" style="193"/>
    <col min="11521" max="11521" width="18.44140625" style="193" bestFit="1" customWidth="1"/>
    <col min="11522" max="11522" width="18.44140625" style="193" customWidth="1"/>
    <col min="11523" max="11526" width="12.77734375" style="193" customWidth="1"/>
    <col min="11527" max="11528" width="18.44140625" style="193" customWidth="1"/>
    <col min="11529" max="11532" width="12.77734375" style="193" customWidth="1"/>
    <col min="11533" max="11533" width="12.21875" style="193" customWidth="1"/>
    <col min="11534" max="11535" width="8.88671875" style="193"/>
    <col min="11536" max="11536" width="12.77734375" style="193" bestFit="1" customWidth="1"/>
    <col min="11537" max="11776" width="8.88671875" style="193"/>
    <col min="11777" max="11777" width="18.44140625" style="193" bestFit="1" customWidth="1"/>
    <col min="11778" max="11778" width="18.44140625" style="193" customWidth="1"/>
    <col min="11779" max="11782" width="12.77734375" style="193" customWidth="1"/>
    <col min="11783" max="11784" width="18.44140625" style="193" customWidth="1"/>
    <col min="11785" max="11788" width="12.77734375" style="193" customWidth="1"/>
    <col min="11789" max="11789" width="12.21875" style="193" customWidth="1"/>
    <col min="11790" max="11791" width="8.88671875" style="193"/>
    <col min="11792" max="11792" width="12.77734375" style="193" bestFit="1" customWidth="1"/>
    <col min="11793" max="12032" width="8.88671875" style="193"/>
    <col min="12033" max="12033" width="18.44140625" style="193" bestFit="1" customWidth="1"/>
    <col min="12034" max="12034" width="18.44140625" style="193" customWidth="1"/>
    <col min="12035" max="12038" width="12.77734375" style="193" customWidth="1"/>
    <col min="12039" max="12040" width="18.44140625" style="193" customWidth="1"/>
    <col min="12041" max="12044" width="12.77734375" style="193" customWidth="1"/>
    <col min="12045" max="12045" width="12.21875" style="193" customWidth="1"/>
    <col min="12046" max="12047" width="8.88671875" style="193"/>
    <col min="12048" max="12048" width="12.77734375" style="193" bestFit="1" customWidth="1"/>
    <col min="12049" max="12288" width="8.88671875" style="193"/>
    <col min="12289" max="12289" width="18.44140625" style="193" bestFit="1" customWidth="1"/>
    <col min="12290" max="12290" width="18.44140625" style="193" customWidth="1"/>
    <col min="12291" max="12294" width="12.77734375" style="193" customWidth="1"/>
    <col min="12295" max="12296" width="18.44140625" style="193" customWidth="1"/>
    <col min="12297" max="12300" width="12.77734375" style="193" customWidth="1"/>
    <col min="12301" max="12301" width="12.21875" style="193" customWidth="1"/>
    <col min="12302" max="12303" width="8.88671875" style="193"/>
    <col min="12304" max="12304" width="12.77734375" style="193" bestFit="1" customWidth="1"/>
    <col min="12305" max="12544" width="8.88671875" style="193"/>
    <col min="12545" max="12545" width="18.44140625" style="193" bestFit="1" customWidth="1"/>
    <col min="12546" max="12546" width="18.44140625" style="193" customWidth="1"/>
    <col min="12547" max="12550" width="12.77734375" style="193" customWidth="1"/>
    <col min="12551" max="12552" width="18.44140625" style="193" customWidth="1"/>
    <col min="12553" max="12556" width="12.77734375" style="193" customWidth="1"/>
    <col min="12557" max="12557" width="12.21875" style="193" customWidth="1"/>
    <col min="12558" max="12559" width="8.88671875" style="193"/>
    <col min="12560" max="12560" width="12.77734375" style="193" bestFit="1" customWidth="1"/>
    <col min="12561" max="12800" width="8.88671875" style="193"/>
    <col min="12801" max="12801" width="18.44140625" style="193" bestFit="1" customWidth="1"/>
    <col min="12802" max="12802" width="18.44140625" style="193" customWidth="1"/>
    <col min="12803" max="12806" width="12.77734375" style="193" customWidth="1"/>
    <col min="12807" max="12808" width="18.44140625" style="193" customWidth="1"/>
    <col min="12809" max="12812" width="12.77734375" style="193" customWidth="1"/>
    <col min="12813" max="12813" width="12.21875" style="193" customWidth="1"/>
    <col min="12814" max="12815" width="8.88671875" style="193"/>
    <col min="12816" max="12816" width="12.77734375" style="193" bestFit="1" customWidth="1"/>
    <col min="12817" max="13056" width="8.88671875" style="193"/>
    <col min="13057" max="13057" width="18.44140625" style="193" bestFit="1" customWidth="1"/>
    <col min="13058" max="13058" width="18.44140625" style="193" customWidth="1"/>
    <col min="13059" max="13062" width="12.77734375" style="193" customWidth="1"/>
    <col min="13063" max="13064" width="18.44140625" style="193" customWidth="1"/>
    <col min="13065" max="13068" width="12.77734375" style="193" customWidth="1"/>
    <col min="13069" max="13069" width="12.21875" style="193" customWidth="1"/>
    <col min="13070" max="13071" width="8.88671875" style="193"/>
    <col min="13072" max="13072" width="12.77734375" style="193" bestFit="1" customWidth="1"/>
    <col min="13073" max="13312" width="8.88671875" style="193"/>
    <col min="13313" max="13313" width="18.44140625" style="193" bestFit="1" customWidth="1"/>
    <col min="13314" max="13314" width="18.44140625" style="193" customWidth="1"/>
    <col min="13315" max="13318" width="12.77734375" style="193" customWidth="1"/>
    <col min="13319" max="13320" width="18.44140625" style="193" customWidth="1"/>
    <col min="13321" max="13324" width="12.77734375" style="193" customWidth="1"/>
    <col min="13325" max="13325" width="12.21875" style="193" customWidth="1"/>
    <col min="13326" max="13327" width="8.88671875" style="193"/>
    <col min="13328" max="13328" width="12.77734375" style="193" bestFit="1" customWidth="1"/>
    <col min="13329" max="13568" width="8.88671875" style="193"/>
    <col min="13569" max="13569" width="18.44140625" style="193" bestFit="1" customWidth="1"/>
    <col min="13570" max="13570" width="18.44140625" style="193" customWidth="1"/>
    <col min="13571" max="13574" width="12.77734375" style="193" customWidth="1"/>
    <col min="13575" max="13576" width="18.44140625" style="193" customWidth="1"/>
    <col min="13577" max="13580" width="12.77734375" style="193" customWidth="1"/>
    <col min="13581" max="13581" width="12.21875" style="193" customWidth="1"/>
    <col min="13582" max="13583" width="8.88671875" style="193"/>
    <col min="13584" max="13584" width="12.77734375" style="193" bestFit="1" customWidth="1"/>
    <col min="13585" max="13824" width="8.88671875" style="193"/>
    <col min="13825" max="13825" width="18.44140625" style="193" bestFit="1" customWidth="1"/>
    <col min="13826" max="13826" width="18.44140625" style="193" customWidth="1"/>
    <col min="13827" max="13830" width="12.77734375" style="193" customWidth="1"/>
    <col min="13831" max="13832" width="18.44140625" style="193" customWidth="1"/>
    <col min="13833" max="13836" width="12.77734375" style="193" customWidth="1"/>
    <col min="13837" max="13837" width="12.21875" style="193" customWidth="1"/>
    <col min="13838" max="13839" width="8.88671875" style="193"/>
    <col min="13840" max="13840" width="12.77734375" style="193" bestFit="1" customWidth="1"/>
    <col min="13841" max="14080" width="8.88671875" style="193"/>
    <col min="14081" max="14081" width="18.44140625" style="193" bestFit="1" customWidth="1"/>
    <col min="14082" max="14082" width="18.44140625" style="193" customWidth="1"/>
    <col min="14083" max="14086" width="12.77734375" style="193" customWidth="1"/>
    <col min="14087" max="14088" width="18.44140625" style="193" customWidth="1"/>
    <col min="14089" max="14092" width="12.77734375" style="193" customWidth="1"/>
    <col min="14093" max="14093" width="12.21875" style="193" customWidth="1"/>
    <col min="14094" max="14095" width="8.88671875" style="193"/>
    <col min="14096" max="14096" width="12.77734375" style="193" bestFit="1" customWidth="1"/>
    <col min="14097" max="14336" width="8.88671875" style="193"/>
    <col min="14337" max="14337" width="18.44140625" style="193" bestFit="1" customWidth="1"/>
    <col min="14338" max="14338" width="18.44140625" style="193" customWidth="1"/>
    <col min="14339" max="14342" width="12.77734375" style="193" customWidth="1"/>
    <col min="14343" max="14344" width="18.44140625" style="193" customWidth="1"/>
    <col min="14345" max="14348" width="12.77734375" style="193" customWidth="1"/>
    <col min="14349" max="14349" width="12.21875" style="193" customWidth="1"/>
    <col min="14350" max="14351" width="8.88671875" style="193"/>
    <col min="14352" max="14352" width="12.77734375" style="193" bestFit="1" customWidth="1"/>
    <col min="14353" max="14592" width="8.88671875" style="193"/>
    <col min="14593" max="14593" width="18.44140625" style="193" bestFit="1" customWidth="1"/>
    <col min="14594" max="14594" width="18.44140625" style="193" customWidth="1"/>
    <col min="14595" max="14598" width="12.77734375" style="193" customWidth="1"/>
    <col min="14599" max="14600" width="18.44140625" style="193" customWidth="1"/>
    <col min="14601" max="14604" width="12.77734375" style="193" customWidth="1"/>
    <col min="14605" max="14605" width="12.21875" style="193" customWidth="1"/>
    <col min="14606" max="14607" width="8.88671875" style="193"/>
    <col min="14608" max="14608" width="12.77734375" style="193" bestFit="1" customWidth="1"/>
    <col min="14609" max="14848" width="8.88671875" style="193"/>
    <col min="14849" max="14849" width="18.44140625" style="193" bestFit="1" customWidth="1"/>
    <col min="14850" max="14850" width="18.44140625" style="193" customWidth="1"/>
    <col min="14851" max="14854" width="12.77734375" style="193" customWidth="1"/>
    <col min="14855" max="14856" width="18.44140625" style="193" customWidth="1"/>
    <col min="14857" max="14860" width="12.77734375" style="193" customWidth="1"/>
    <col min="14861" max="14861" width="12.21875" style="193" customWidth="1"/>
    <col min="14862" max="14863" width="8.88671875" style="193"/>
    <col min="14864" max="14864" width="12.77734375" style="193" bestFit="1" customWidth="1"/>
    <col min="14865" max="15104" width="8.88671875" style="193"/>
    <col min="15105" max="15105" width="18.44140625" style="193" bestFit="1" customWidth="1"/>
    <col min="15106" max="15106" width="18.44140625" style="193" customWidth="1"/>
    <col min="15107" max="15110" width="12.77734375" style="193" customWidth="1"/>
    <col min="15111" max="15112" width="18.44140625" style="193" customWidth="1"/>
    <col min="15113" max="15116" width="12.77734375" style="193" customWidth="1"/>
    <col min="15117" max="15117" width="12.21875" style="193" customWidth="1"/>
    <col min="15118" max="15119" width="8.88671875" style="193"/>
    <col min="15120" max="15120" width="12.77734375" style="193" bestFit="1" customWidth="1"/>
    <col min="15121" max="15360" width="8.88671875" style="193"/>
    <col min="15361" max="15361" width="18.44140625" style="193" bestFit="1" customWidth="1"/>
    <col min="15362" max="15362" width="18.44140625" style="193" customWidth="1"/>
    <col min="15363" max="15366" width="12.77734375" style="193" customWidth="1"/>
    <col min="15367" max="15368" width="18.44140625" style="193" customWidth="1"/>
    <col min="15369" max="15372" width="12.77734375" style="193" customWidth="1"/>
    <col min="15373" max="15373" width="12.21875" style="193" customWidth="1"/>
    <col min="15374" max="15375" width="8.88671875" style="193"/>
    <col min="15376" max="15376" width="12.77734375" style="193" bestFit="1" customWidth="1"/>
    <col min="15377" max="15616" width="8.88671875" style="193"/>
    <col min="15617" max="15617" width="18.44140625" style="193" bestFit="1" customWidth="1"/>
    <col min="15618" max="15618" width="18.44140625" style="193" customWidth="1"/>
    <col min="15619" max="15622" width="12.77734375" style="193" customWidth="1"/>
    <col min="15623" max="15624" width="18.44140625" style="193" customWidth="1"/>
    <col min="15625" max="15628" width="12.77734375" style="193" customWidth="1"/>
    <col min="15629" max="15629" width="12.21875" style="193" customWidth="1"/>
    <col min="15630" max="15631" width="8.88671875" style="193"/>
    <col min="15632" max="15632" width="12.77734375" style="193" bestFit="1" customWidth="1"/>
    <col min="15633" max="15872" width="8.88671875" style="193"/>
    <col min="15873" max="15873" width="18.44140625" style="193" bestFit="1" customWidth="1"/>
    <col min="15874" max="15874" width="18.44140625" style="193" customWidth="1"/>
    <col min="15875" max="15878" width="12.77734375" style="193" customWidth="1"/>
    <col min="15879" max="15880" width="18.44140625" style="193" customWidth="1"/>
    <col min="15881" max="15884" width="12.77734375" style="193" customWidth="1"/>
    <col min="15885" max="15885" width="12.21875" style="193" customWidth="1"/>
    <col min="15886" max="15887" width="8.88671875" style="193"/>
    <col min="15888" max="15888" width="12.77734375" style="193" bestFit="1" customWidth="1"/>
    <col min="15889" max="16128" width="8.88671875" style="193"/>
    <col min="16129" max="16129" width="18.44140625" style="193" bestFit="1" customWidth="1"/>
    <col min="16130" max="16130" width="18.44140625" style="193" customWidth="1"/>
    <col min="16131" max="16134" width="12.77734375" style="193" customWidth="1"/>
    <col min="16135" max="16136" width="18.44140625" style="193" customWidth="1"/>
    <col min="16137" max="16140" width="12.77734375" style="193" customWidth="1"/>
    <col min="16141" max="16141" width="12.21875" style="193" customWidth="1"/>
    <col min="16142" max="16143" width="8.88671875" style="193"/>
    <col min="16144" max="16144" width="12.77734375" style="193" bestFit="1" customWidth="1"/>
    <col min="16145" max="16384" width="8.88671875" style="193"/>
  </cols>
  <sheetData>
    <row r="2" spans="1:14" ht="33.75" customHeight="1">
      <c r="A2" s="1426" t="s">
        <v>645</v>
      </c>
      <c r="B2" s="1426"/>
      <c r="C2" s="1426"/>
      <c r="D2" s="1426"/>
      <c r="E2" s="1426"/>
      <c r="F2" s="1426"/>
      <c r="G2" s="1426"/>
      <c r="H2" s="1426"/>
      <c r="I2" s="1426"/>
      <c r="J2" s="1426"/>
      <c r="K2" s="1426"/>
      <c r="L2" s="1426"/>
    </row>
    <row r="3" spans="1:14" ht="14.1" customHeight="1">
      <c r="A3" s="194"/>
      <c r="B3" s="194"/>
      <c r="C3" s="195"/>
      <c r="D3" s="195"/>
      <c r="E3" s="195"/>
      <c r="F3" s="195"/>
      <c r="G3" s="194"/>
      <c r="H3" s="194"/>
      <c r="I3" s="194"/>
      <c r="J3" s="194"/>
      <c r="K3" s="194"/>
      <c r="L3" s="195"/>
    </row>
    <row r="4" spans="1:14" ht="16.5" customHeight="1">
      <c r="A4" s="1427" t="s">
        <v>221</v>
      </c>
      <c r="B4" s="1427"/>
      <c r="C4" s="1427"/>
      <c r="D4" s="1427"/>
      <c r="E4" s="1427"/>
      <c r="F4" s="1427"/>
      <c r="G4" s="1427"/>
      <c r="H4" s="1427"/>
      <c r="I4" s="1427"/>
      <c r="J4" s="1427"/>
      <c r="K4" s="1427"/>
      <c r="L4" s="1427"/>
    </row>
    <row r="5" spans="1:14" ht="14.1" customHeight="1" thickBot="1"/>
    <row r="6" spans="1:14" ht="42" customHeight="1">
      <c r="A6" s="1428" t="s">
        <v>222</v>
      </c>
      <c r="B6" s="1429"/>
      <c r="C6" s="1430"/>
      <c r="D6" s="527"/>
      <c r="E6" s="527"/>
      <c r="F6" s="561"/>
      <c r="G6" s="1428" t="s">
        <v>223</v>
      </c>
      <c r="H6" s="1429"/>
      <c r="I6" s="1429"/>
      <c r="J6" s="1429"/>
      <c r="K6" s="1429"/>
      <c r="L6" s="1431"/>
    </row>
    <row r="7" spans="1:14" ht="42" customHeight="1">
      <c r="A7" s="1432" t="s">
        <v>243</v>
      </c>
      <c r="B7" s="1433"/>
      <c r="C7" s="197" t="s">
        <v>227</v>
      </c>
      <c r="D7" s="197" t="s">
        <v>409</v>
      </c>
      <c r="E7" s="197" t="s">
        <v>229</v>
      </c>
      <c r="F7" s="507" t="s">
        <v>413</v>
      </c>
      <c r="G7" s="1432" t="s">
        <v>243</v>
      </c>
      <c r="H7" s="1433"/>
      <c r="I7" s="197" t="s">
        <v>227</v>
      </c>
      <c r="J7" s="528" t="s">
        <v>415</v>
      </c>
      <c r="K7" s="528" t="s">
        <v>414</v>
      </c>
      <c r="L7" s="521" t="s">
        <v>230</v>
      </c>
    </row>
    <row r="8" spans="1:14" ht="42" customHeight="1">
      <c r="A8" s="1434" t="s">
        <v>37</v>
      </c>
      <c r="B8" s="1435"/>
      <c r="C8" s="208">
        <f>SUM(C9,C11,C13,C15,C17,C19)</f>
        <v>2263747735</v>
      </c>
      <c r="D8" s="208">
        <f>SUM(D9,D11,D13,D15,D17,D19)</f>
        <v>2221710128</v>
      </c>
      <c r="E8" s="208">
        <f>SUM(E9,E11,E13,E15,E17,E19)</f>
        <v>2107383054</v>
      </c>
      <c r="F8" s="562">
        <f>SUM(F9,F11,F13,F15,F17,F19)</f>
        <v>-114327074</v>
      </c>
      <c r="G8" s="1434" t="s">
        <v>37</v>
      </c>
      <c r="H8" s="1435"/>
      <c r="I8" s="208">
        <f>I9+I13+I15+I17+I21+I19</f>
        <v>2263747735</v>
      </c>
      <c r="J8" s="208">
        <f t="shared" ref="J8:K8" si="0">J9+J13+J15+J17+J21+J19</f>
        <v>2221710128</v>
      </c>
      <c r="K8" s="208">
        <f t="shared" si="0"/>
        <v>2107383054</v>
      </c>
      <c r="L8" s="946">
        <f>L9+L13+L15+L17+L21+L19</f>
        <v>-114327074</v>
      </c>
      <c r="N8" s="205"/>
    </row>
    <row r="9" spans="1:14" ht="42" customHeight="1">
      <c r="A9" s="1424" t="s">
        <v>233</v>
      </c>
      <c r="B9" s="198" t="s">
        <v>213</v>
      </c>
      <c r="C9" s="198">
        <f>C10</f>
        <v>10500000</v>
      </c>
      <c r="D9" s="198">
        <f t="shared" ref="D9:E9" si="1">D10</f>
        <v>10000000</v>
      </c>
      <c r="E9" s="198">
        <f t="shared" si="1"/>
        <v>20000000</v>
      </c>
      <c r="F9" s="944">
        <f t="shared" ref="F9:F20" si="2">E9-D9</f>
        <v>10000000</v>
      </c>
      <c r="G9" s="1424" t="s">
        <v>184</v>
      </c>
      <c r="H9" s="198" t="s">
        <v>213</v>
      </c>
      <c r="I9" s="199">
        <f>I10+I11+I12</f>
        <v>946030160</v>
      </c>
      <c r="J9" s="199">
        <f>J10+J11+J12</f>
        <v>982653368</v>
      </c>
      <c r="K9" s="199">
        <f>K10+K11+K12</f>
        <v>965059095</v>
      </c>
      <c r="L9" s="947">
        <f>L10+L11+L12</f>
        <v>-17594273</v>
      </c>
    </row>
    <row r="10" spans="1:14" ht="42" customHeight="1">
      <c r="A10" s="1425"/>
      <c r="B10" s="200" t="s">
        <v>233</v>
      </c>
      <c r="C10" s="197">
        <f>세입세출요약표!D10</f>
        <v>10500000</v>
      </c>
      <c r="D10" s="197">
        <f>세입세출요약표!E10</f>
        <v>10000000</v>
      </c>
      <c r="E10" s="197">
        <f>세입세출요약표!F11</f>
        <v>20000000</v>
      </c>
      <c r="F10" s="945">
        <f t="shared" si="2"/>
        <v>10000000</v>
      </c>
      <c r="G10" s="1436"/>
      <c r="H10" s="200" t="s">
        <v>44</v>
      </c>
      <c r="I10" s="508">
        <f>세입세출요약표!K11</f>
        <v>823750330</v>
      </c>
      <c r="J10" s="508">
        <f>세입세출요약표!L11</f>
        <v>862387894</v>
      </c>
      <c r="K10" s="508">
        <f>세입세출요약표!M$11</f>
        <v>845827729</v>
      </c>
      <c r="L10" s="948">
        <f>K10-J10</f>
        <v>-16560165</v>
      </c>
    </row>
    <row r="11" spans="1:14" ht="42" customHeight="1">
      <c r="A11" s="1424" t="s">
        <v>33</v>
      </c>
      <c r="B11" s="198" t="s">
        <v>213</v>
      </c>
      <c r="C11" s="198">
        <f>C12</f>
        <v>2063479930</v>
      </c>
      <c r="D11" s="198">
        <f t="shared" ref="D11:E11" si="3">D12</f>
        <v>2019911174</v>
      </c>
      <c r="E11" s="198">
        <f t="shared" si="3"/>
        <v>1894289930</v>
      </c>
      <c r="F11" s="944">
        <f t="shared" si="2"/>
        <v>-125621244</v>
      </c>
      <c r="G11" s="1436"/>
      <c r="H11" s="200" t="s">
        <v>185</v>
      </c>
      <c r="I11" s="508">
        <f>세입세출요약표!K23</f>
        <v>4850000</v>
      </c>
      <c r="J11" s="508">
        <f>세입세출요약표!L23</f>
        <v>5640000</v>
      </c>
      <c r="K11" s="508">
        <f>세입세출요약표!M$23</f>
        <v>5090200</v>
      </c>
      <c r="L11" s="948">
        <f>K11-J11</f>
        <v>-549800</v>
      </c>
    </row>
    <row r="12" spans="1:14" ht="42" customHeight="1">
      <c r="A12" s="1425"/>
      <c r="B12" s="200" t="s">
        <v>244</v>
      </c>
      <c r="C12" s="201">
        <f>세입세출요약표!D14</f>
        <v>2063479930</v>
      </c>
      <c r="D12" s="201">
        <f>세입세출요약표!E14</f>
        <v>2019911174</v>
      </c>
      <c r="E12" s="201">
        <f>세입세출요약표!F15</f>
        <v>1894289930</v>
      </c>
      <c r="F12" s="945">
        <f t="shared" si="2"/>
        <v>-125621244</v>
      </c>
      <c r="G12" s="1425"/>
      <c r="H12" s="200" t="s">
        <v>188</v>
      </c>
      <c r="I12" s="508">
        <f>세입세출요약표!K16</f>
        <v>117429830</v>
      </c>
      <c r="J12" s="508">
        <f>세입세출요약표!L16</f>
        <v>114625474</v>
      </c>
      <c r="K12" s="508">
        <f>세입세출요약표!M$16</f>
        <v>114141166</v>
      </c>
      <c r="L12" s="948">
        <f>K12-J12</f>
        <v>-484308</v>
      </c>
    </row>
    <row r="13" spans="1:14" ht="42" customHeight="1">
      <c r="A13" s="1424" t="s">
        <v>35</v>
      </c>
      <c r="B13" s="202" t="s">
        <v>213</v>
      </c>
      <c r="C13" s="203">
        <f>C14</f>
        <v>17280000</v>
      </c>
      <c r="D13" s="203">
        <f t="shared" ref="D13:E13" si="4">D14</f>
        <v>18800000</v>
      </c>
      <c r="E13" s="203">
        <f t="shared" si="4"/>
        <v>18800000</v>
      </c>
      <c r="F13" s="944">
        <f t="shared" si="2"/>
        <v>0</v>
      </c>
      <c r="G13" s="1424" t="s">
        <v>196</v>
      </c>
      <c r="H13" s="198" t="s">
        <v>213</v>
      </c>
      <c r="I13" s="199">
        <f>I14</f>
        <v>33400000</v>
      </c>
      <c r="J13" s="199">
        <f>J14</f>
        <v>35152910</v>
      </c>
      <c r="K13" s="199">
        <f>K14</f>
        <v>35152910</v>
      </c>
      <c r="L13" s="949">
        <f>L14</f>
        <v>0</v>
      </c>
    </row>
    <row r="14" spans="1:14" ht="42" customHeight="1">
      <c r="A14" s="1425"/>
      <c r="B14" s="528" t="s">
        <v>207</v>
      </c>
      <c r="C14" s="201">
        <f>세입세출요약표!D23</f>
        <v>17280000</v>
      </c>
      <c r="D14" s="201">
        <f>세입세출요약표!E23</f>
        <v>18800000</v>
      </c>
      <c r="E14" s="201">
        <f>세입세출요약표!F23</f>
        <v>18800000</v>
      </c>
      <c r="F14" s="945">
        <f t="shared" si="2"/>
        <v>0</v>
      </c>
      <c r="G14" s="1425"/>
      <c r="H14" s="200" t="s">
        <v>197</v>
      </c>
      <c r="I14" s="508">
        <f>세입세출요약표!K26</f>
        <v>33400000</v>
      </c>
      <c r="J14" s="508">
        <f>세입세출요약표!L26</f>
        <v>35152910</v>
      </c>
      <c r="K14" s="508">
        <f>세입세출요약표!M$26</f>
        <v>35152910</v>
      </c>
      <c r="L14" s="948">
        <f>K14-J14</f>
        <v>0</v>
      </c>
    </row>
    <row r="15" spans="1:14" ht="42" customHeight="1">
      <c r="A15" s="1424" t="s">
        <v>34</v>
      </c>
      <c r="B15" s="202" t="s">
        <v>213</v>
      </c>
      <c r="C15" s="198">
        <f>C16</f>
        <v>20000000</v>
      </c>
      <c r="D15" s="198">
        <f t="shared" ref="D15:E15" si="5">D16</f>
        <v>15000000</v>
      </c>
      <c r="E15" s="198">
        <f t="shared" si="5"/>
        <v>15000000</v>
      </c>
      <c r="F15" s="944">
        <f t="shared" si="2"/>
        <v>0</v>
      </c>
      <c r="G15" s="1424" t="s">
        <v>116</v>
      </c>
      <c r="H15" s="198" t="s">
        <v>213</v>
      </c>
      <c r="I15" s="199">
        <f>I16</f>
        <v>1212229770</v>
      </c>
      <c r="J15" s="199">
        <f t="shared" ref="J15:K15" si="6">J16</f>
        <v>1134115217</v>
      </c>
      <c r="K15" s="199">
        <f t="shared" si="6"/>
        <v>1036088246</v>
      </c>
      <c r="L15" s="950">
        <f>L16</f>
        <v>-98026971</v>
      </c>
    </row>
    <row r="16" spans="1:14" ht="42" customHeight="1">
      <c r="A16" s="1425"/>
      <c r="B16" s="528" t="s">
        <v>34</v>
      </c>
      <c r="C16" s="197">
        <f>세입세출요약표!D27</f>
        <v>20000000</v>
      </c>
      <c r="D16" s="197">
        <f>세입세출요약표!E27</f>
        <v>15000000</v>
      </c>
      <c r="E16" s="197">
        <f>세입세출요약표!F29</f>
        <v>15000000</v>
      </c>
      <c r="F16" s="945">
        <f t="shared" si="2"/>
        <v>0</v>
      </c>
      <c r="G16" s="1425"/>
      <c r="H16" s="200" t="s">
        <v>116</v>
      </c>
      <c r="I16" s="508">
        <v>1212229770</v>
      </c>
      <c r="J16" s="508">
        <f>세입세출요약표!L31</f>
        <v>1134115217</v>
      </c>
      <c r="K16" s="508">
        <f>세입세출요약표!M$31</f>
        <v>1036088246</v>
      </c>
      <c r="L16" s="948">
        <f>K16-J16</f>
        <v>-98026971</v>
      </c>
    </row>
    <row r="17" spans="1:13" ht="42" customHeight="1">
      <c r="A17" s="1424" t="s">
        <v>36</v>
      </c>
      <c r="B17" s="202" t="s">
        <v>213</v>
      </c>
      <c r="C17" s="198">
        <f>C18</f>
        <v>14400000</v>
      </c>
      <c r="D17" s="198">
        <f t="shared" ref="D17:E17" si="7">D18</f>
        <v>14700000</v>
      </c>
      <c r="E17" s="198">
        <f t="shared" si="7"/>
        <v>15994170</v>
      </c>
      <c r="F17" s="944">
        <f t="shared" si="2"/>
        <v>1294170</v>
      </c>
      <c r="G17" s="1424" t="s">
        <v>204</v>
      </c>
      <c r="H17" s="198" t="s">
        <v>213</v>
      </c>
      <c r="I17" s="199">
        <f>I18</f>
        <v>26087805</v>
      </c>
      <c r="J17" s="199">
        <f>J18</f>
        <v>25893283</v>
      </c>
      <c r="K17" s="199">
        <f>K18</f>
        <v>27187453</v>
      </c>
      <c r="L17" s="950">
        <f>L18</f>
        <v>1294170</v>
      </c>
    </row>
    <row r="18" spans="1:13" ht="42" customHeight="1">
      <c r="A18" s="1436"/>
      <c r="B18" s="528" t="s">
        <v>36</v>
      </c>
      <c r="C18" s="197">
        <f>세입세출요약표!D$30</f>
        <v>14400000</v>
      </c>
      <c r="D18" s="197">
        <f>세입세출요약표!E$30</f>
        <v>14700000</v>
      </c>
      <c r="E18" s="197">
        <f>세입세출요약표!F$30</f>
        <v>15994170</v>
      </c>
      <c r="F18" s="945">
        <f t="shared" si="2"/>
        <v>1294170</v>
      </c>
      <c r="G18" s="1425"/>
      <c r="H18" s="204" t="s">
        <v>204</v>
      </c>
      <c r="I18" s="509">
        <f>세입세출요약표!K40</f>
        <v>26087805</v>
      </c>
      <c r="J18" s="509">
        <f>세입세출요약표!L40</f>
        <v>25893283</v>
      </c>
      <c r="K18" s="509">
        <f>세입세출요약표!M$40</f>
        <v>27187453</v>
      </c>
      <c r="L18" s="948">
        <f>K18-J18</f>
        <v>1294170</v>
      </c>
    </row>
    <row r="19" spans="1:13" ht="42" customHeight="1">
      <c r="A19" s="1440" t="s">
        <v>130</v>
      </c>
      <c r="B19" s="529" t="s">
        <v>213</v>
      </c>
      <c r="C19" s="198">
        <f>C20</f>
        <v>138087805</v>
      </c>
      <c r="D19" s="198">
        <f t="shared" ref="D19" si="8">D20</f>
        <v>143298954</v>
      </c>
      <c r="E19" s="198">
        <f>E20</f>
        <v>143298954</v>
      </c>
      <c r="F19" s="944">
        <f t="shared" si="2"/>
        <v>0</v>
      </c>
      <c r="G19" s="1424" t="s">
        <v>442</v>
      </c>
      <c r="H19" s="198" t="s">
        <v>213</v>
      </c>
      <c r="I19" s="199">
        <f>I20</f>
        <v>46000000</v>
      </c>
      <c r="J19" s="199">
        <f>J20</f>
        <v>43895350</v>
      </c>
      <c r="K19" s="199">
        <f>K20</f>
        <v>43895350</v>
      </c>
      <c r="L19" s="950">
        <f>L20</f>
        <v>0</v>
      </c>
    </row>
    <row r="20" spans="1:13" ht="42" customHeight="1" thickBot="1">
      <c r="A20" s="1440"/>
      <c r="B20" s="530" t="s">
        <v>130</v>
      </c>
      <c r="C20" s="197">
        <f>세입세출요약표!D35</f>
        <v>138087805</v>
      </c>
      <c r="D20" s="197">
        <f>세입세출요약표!E35</f>
        <v>143298954</v>
      </c>
      <c r="E20" s="197">
        <f>세입세출요약표!F$36</f>
        <v>143298954</v>
      </c>
      <c r="F20" s="945">
        <f t="shared" si="2"/>
        <v>0</v>
      </c>
      <c r="G20" s="1436"/>
      <c r="H20" s="565" t="s">
        <v>246</v>
      </c>
      <c r="I20" s="566">
        <f>세입세출요약표!K43</f>
        <v>46000000</v>
      </c>
      <c r="J20" s="566">
        <f>세입세출요약표!L43</f>
        <v>43895350</v>
      </c>
      <c r="K20" s="566">
        <f>세입세출요약표!M$42</f>
        <v>43895350</v>
      </c>
      <c r="L20" s="948">
        <f>K20-J20</f>
        <v>0</v>
      </c>
    </row>
    <row r="21" spans="1:13" ht="42" hidden="1" customHeight="1">
      <c r="A21" s="1437"/>
      <c r="B21" s="531"/>
      <c r="C21" s="532"/>
      <c r="D21" s="532"/>
      <c r="E21" s="532"/>
      <c r="F21" s="563"/>
      <c r="G21" s="1424" t="s">
        <v>442</v>
      </c>
      <c r="H21" s="198" t="s">
        <v>213</v>
      </c>
      <c r="I21" s="199">
        <f>I22</f>
        <v>0</v>
      </c>
      <c r="J21" s="199">
        <f>J22</f>
        <v>0</v>
      </c>
      <c r="K21" s="199">
        <f>K22</f>
        <v>0</v>
      </c>
      <c r="L21" s="522">
        <f>L22</f>
        <v>0</v>
      </c>
    </row>
    <row r="22" spans="1:13" ht="42" hidden="1" customHeight="1" thickBot="1">
      <c r="A22" s="1438"/>
      <c r="B22" s="533"/>
      <c r="C22" s="534"/>
      <c r="D22" s="534"/>
      <c r="E22" s="534"/>
      <c r="F22" s="564"/>
      <c r="G22" s="1439"/>
      <c r="H22" s="524" t="s">
        <v>246</v>
      </c>
      <c r="I22" s="525">
        <f>세입세출요약표!K$45</f>
        <v>0</v>
      </c>
      <c r="J22" s="525">
        <f>세입세출요약표!L$45</f>
        <v>0</v>
      </c>
      <c r="K22" s="525">
        <f>세입세출요약표!M$45</f>
        <v>0</v>
      </c>
      <c r="L22" s="523">
        <f t="shared" ref="L22" si="9">K22-J22</f>
        <v>0</v>
      </c>
    </row>
    <row r="23" spans="1:13" ht="14.1" customHeight="1" thickBot="1">
      <c r="B23" s="886"/>
      <c r="C23" s="207"/>
      <c r="D23" s="207"/>
      <c r="E23" s="207"/>
      <c r="F23" s="207"/>
      <c r="G23" s="887"/>
      <c r="H23" s="887"/>
      <c r="I23" s="887"/>
      <c r="J23" s="887"/>
      <c r="K23" s="887"/>
      <c r="L23" s="888" t="s">
        <v>646</v>
      </c>
    </row>
    <row r="24" spans="1:13" ht="15.75" customHeight="1"/>
    <row r="25" spans="1:13">
      <c r="M25" s="205"/>
    </row>
    <row r="77" spans="7:12" ht="17.25" thickBot="1"/>
    <row r="78" spans="7:12" ht="21" customHeight="1" thickBot="1">
      <c r="G78" s="206"/>
      <c r="H78" s="206"/>
      <c r="I78" s="206"/>
      <c r="J78" s="206"/>
      <c r="K78" s="206"/>
      <c r="L78" s="207"/>
    </row>
  </sheetData>
  <mergeCells count="21">
    <mergeCell ref="A15:A16"/>
    <mergeCell ref="G15:G16"/>
    <mergeCell ref="A17:A18"/>
    <mergeCell ref="G17:G18"/>
    <mergeCell ref="A21:A22"/>
    <mergeCell ref="G21:G22"/>
    <mergeCell ref="G19:G20"/>
    <mergeCell ref="A19:A20"/>
    <mergeCell ref="A13:A14"/>
    <mergeCell ref="G13:G14"/>
    <mergeCell ref="A2:L2"/>
    <mergeCell ref="A4:L4"/>
    <mergeCell ref="A6:C6"/>
    <mergeCell ref="G6:L6"/>
    <mergeCell ref="A7:B7"/>
    <mergeCell ref="G7:H7"/>
    <mergeCell ref="A8:B8"/>
    <mergeCell ref="G8:H8"/>
    <mergeCell ref="A9:A10"/>
    <mergeCell ref="G9:G12"/>
    <mergeCell ref="A11:A12"/>
  </mergeCells>
  <phoneticPr fontId="3" type="noConversion"/>
  <printOptions horizontalCentered="1" verticalCentered="1"/>
  <pageMargins left="0.15748031496062992" right="0.19685039370078741" top="0.55118110236220474" bottom="0.55118110236220474" header="0.51181102362204722" footer="0.51181102362204722"/>
  <pageSetup paperSize="9" scale="56" orientation="landscape" r:id="rId1"/>
  <rowBreaks count="1" manualBreakCount="1">
    <brk id="2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0EEF-8974-47D8-8691-779A6B8AB2C5}">
  <sheetPr>
    <pageSetUpPr fitToPage="1"/>
  </sheetPr>
  <dimension ref="A2:R129"/>
  <sheetViews>
    <sheetView view="pageBreakPreview" topLeftCell="A22" zoomScaleNormal="100" zoomScaleSheetLayoutView="100" workbookViewId="0">
      <selection activeCell="E37" sqref="E37"/>
    </sheetView>
  </sheetViews>
  <sheetFormatPr defaultRowHeight="16.5"/>
  <cols>
    <col min="1" max="1" width="7.44140625" style="448" customWidth="1"/>
    <col min="2" max="2" width="8.88671875" style="448" customWidth="1"/>
    <col min="3" max="3" width="15.109375" style="448" bestFit="1" customWidth="1"/>
    <col min="4" max="6" width="12.77734375" style="451" customWidth="1"/>
    <col min="7" max="7" width="13.109375" style="451" customWidth="1"/>
    <col min="8" max="8" width="5.6640625" style="448" customWidth="1"/>
    <col min="9" max="9" width="6.77734375" style="448" customWidth="1"/>
    <col min="10" max="10" width="14.21875" style="448" bestFit="1" customWidth="1"/>
    <col min="11" max="14" width="13.33203125" style="451" customWidth="1"/>
    <col min="15" max="15" width="12.21875" style="448" customWidth="1"/>
    <col min="16" max="16" width="10.44140625" style="448" bestFit="1" customWidth="1"/>
    <col min="17" max="17" width="8.88671875" style="448"/>
    <col min="18" max="18" width="12.77734375" style="448" bestFit="1" customWidth="1"/>
    <col min="19" max="256" width="8.88671875" style="448"/>
    <col min="257" max="257" width="7.44140625" style="448" customWidth="1"/>
    <col min="258" max="258" width="8.88671875" style="448"/>
    <col min="259" max="259" width="11.21875" style="448" customWidth="1"/>
    <col min="260" max="263" width="12.77734375" style="448" customWidth="1"/>
    <col min="264" max="264" width="5.6640625" style="448" customWidth="1"/>
    <col min="265" max="265" width="6.77734375" style="448" customWidth="1"/>
    <col min="266" max="266" width="10.88671875" style="448" bestFit="1" customWidth="1"/>
    <col min="267" max="270" width="12.77734375" style="448" customWidth="1"/>
    <col min="271" max="271" width="12.21875" style="448" customWidth="1"/>
    <col min="272" max="273" width="8.88671875" style="448"/>
    <col min="274" max="274" width="12.77734375" style="448" bestFit="1" customWidth="1"/>
    <col min="275" max="512" width="8.88671875" style="448"/>
    <col min="513" max="513" width="7.44140625" style="448" customWidth="1"/>
    <col min="514" max="514" width="8.88671875" style="448"/>
    <col min="515" max="515" width="11.21875" style="448" customWidth="1"/>
    <col min="516" max="519" width="12.77734375" style="448" customWidth="1"/>
    <col min="520" max="520" width="5.6640625" style="448" customWidth="1"/>
    <col min="521" max="521" width="6.77734375" style="448" customWidth="1"/>
    <col min="522" max="522" width="10.88671875" style="448" bestFit="1" customWidth="1"/>
    <col min="523" max="526" width="12.77734375" style="448" customWidth="1"/>
    <col min="527" max="527" width="12.21875" style="448" customWidth="1"/>
    <col min="528" max="529" width="8.88671875" style="448"/>
    <col min="530" max="530" width="12.77734375" style="448" bestFit="1" customWidth="1"/>
    <col min="531" max="768" width="8.88671875" style="448"/>
    <col min="769" max="769" width="7.44140625" style="448" customWidth="1"/>
    <col min="770" max="770" width="8.88671875" style="448"/>
    <col min="771" max="771" width="11.21875" style="448" customWidth="1"/>
    <col min="772" max="775" width="12.77734375" style="448" customWidth="1"/>
    <col min="776" max="776" width="5.6640625" style="448" customWidth="1"/>
    <col min="777" max="777" width="6.77734375" style="448" customWidth="1"/>
    <col min="778" max="778" width="10.88671875" style="448" bestFit="1" customWidth="1"/>
    <col min="779" max="782" width="12.77734375" style="448" customWidth="1"/>
    <col min="783" max="783" width="12.21875" style="448" customWidth="1"/>
    <col min="784" max="785" width="8.88671875" style="448"/>
    <col min="786" max="786" width="12.77734375" style="448" bestFit="1" customWidth="1"/>
    <col min="787" max="1024" width="8.88671875" style="448"/>
    <col min="1025" max="1025" width="7.44140625" style="448" customWidth="1"/>
    <col min="1026" max="1026" width="8.88671875" style="448"/>
    <col min="1027" max="1027" width="11.21875" style="448" customWidth="1"/>
    <col min="1028" max="1031" width="12.77734375" style="448" customWidth="1"/>
    <col min="1032" max="1032" width="5.6640625" style="448" customWidth="1"/>
    <col min="1033" max="1033" width="6.77734375" style="448" customWidth="1"/>
    <col min="1034" max="1034" width="10.88671875" style="448" bestFit="1" customWidth="1"/>
    <col min="1035" max="1038" width="12.77734375" style="448" customWidth="1"/>
    <col min="1039" max="1039" width="12.21875" style="448" customWidth="1"/>
    <col min="1040" max="1041" width="8.88671875" style="448"/>
    <col min="1042" max="1042" width="12.77734375" style="448" bestFit="1" customWidth="1"/>
    <col min="1043" max="1280" width="8.88671875" style="448"/>
    <col min="1281" max="1281" width="7.44140625" style="448" customWidth="1"/>
    <col min="1282" max="1282" width="8.88671875" style="448"/>
    <col min="1283" max="1283" width="11.21875" style="448" customWidth="1"/>
    <col min="1284" max="1287" width="12.77734375" style="448" customWidth="1"/>
    <col min="1288" max="1288" width="5.6640625" style="448" customWidth="1"/>
    <col min="1289" max="1289" width="6.77734375" style="448" customWidth="1"/>
    <col min="1290" max="1290" width="10.88671875" style="448" bestFit="1" customWidth="1"/>
    <col min="1291" max="1294" width="12.77734375" style="448" customWidth="1"/>
    <col min="1295" max="1295" width="12.21875" style="448" customWidth="1"/>
    <col min="1296" max="1297" width="8.88671875" style="448"/>
    <col min="1298" max="1298" width="12.77734375" style="448" bestFit="1" customWidth="1"/>
    <col min="1299" max="1536" width="8.88671875" style="448"/>
    <col min="1537" max="1537" width="7.44140625" style="448" customWidth="1"/>
    <col min="1538" max="1538" width="8.88671875" style="448"/>
    <col min="1539" max="1539" width="11.21875" style="448" customWidth="1"/>
    <col min="1540" max="1543" width="12.77734375" style="448" customWidth="1"/>
    <col min="1544" max="1544" width="5.6640625" style="448" customWidth="1"/>
    <col min="1545" max="1545" width="6.77734375" style="448" customWidth="1"/>
    <col min="1546" max="1546" width="10.88671875" style="448" bestFit="1" customWidth="1"/>
    <col min="1547" max="1550" width="12.77734375" style="448" customWidth="1"/>
    <col min="1551" max="1551" width="12.21875" style="448" customWidth="1"/>
    <col min="1552" max="1553" width="8.88671875" style="448"/>
    <col min="1554" max="1554" width="12.77734375" style="448" bestFit="1" customWidth="1"/>
    <col min="1555" max="1792" width="8.88671875" style="448"/>
    <col min="1793" max="1793" width="7.44140625" style="448" customWidth="1"/>
    <col min="1794" max="1794" width="8.88671875" style="448"/>
    <col min="1795" max="1795" width="11.21875" style="448" customWidth="1"/>
    <col min="1796" max="1799" width="12.77734375" style="448" customWidth="1"/>
    <col min="1800" max="1800" width="5.6640625" style="448" customWidth="1"/>
    <col min="1801" max="1801" width="6.77734375" style="448" customWidth="1"/>
    <col min="1802" max="1802" width="10.88671875" style="448" bestFit="1" customWidth="1"/>
    <col min="1803" max="1806" width="12.77734375" style="448" customWidth="1"/>
    <col min="1807" max="1807" width="12.21875" style="448" customWidth="1"/>
    <col min="1808" max="1809" width="8.88671875" style="448"/>
    <col min="1810" max="1810" width="12.77734375" style="448" bestFit="1" customWidth="1"/>
    <col min="1811" max="2048" width="8.88671875" style="448"/>
    <col min="2049" max="2049" width="7.44140625" style="448" customWidth="1"/>
    <col min="2050" max="2050" width="8.88671875" style="448"/>
    <col min="2051" max="2051" width="11.21875" style="448" customWidth="1"/>
    <col min="2052" max="2055" width="12.77734375" style="448" customWidth="1"/>
    <col min="2056" max="2056" width="5.6640625" style="448" customWidth="1"/>
    <col min="2057" max="2057" width="6.77734375" style="448" customWidth="1"/>
    <col min="2058" max="2058" width="10.88671875" style="448" bestFit="1" customWidth="1"/>
    <col min="2059" max="2062" width="12.77734375" style="448" customWidth="1"/>
    <col min="2063" max="2063" width="12.21875" style="448" customWidth="1"/>
    <col min="2064" max="2065" width="8.88671875" style="448"/>
    <col min="2066" max="2066" width="12.77734375" style="448" bestFit="1" customWidth="1"/>
    <col min="2067" max="2304" width="8.88671875" style="448"/>
    <col min="2305" max="2305" width="7.44140625" style="448" customWidth="1"/>
    <col min="2306" max="2306" width="8.88671875" style="448"/>
    <col min="2307" max="2307" width="11.21875" style="448" customWidth="1"/>
    <col min="2308" max="2311" width="12.77734375" style="448" customWidth="1"/>
    <col min="2312" max="2312" width="5.6640625" style="448" customWidth="1"/>
    <col min="2313" max="2313" width="6.77734375" style="448" customWidth="1"/>
    <col min="2314" max="2314" width="10.88671875" style="448" bestFit="1" customWidth="1"/>
    <col min="2315" max="2318" width="12.77734375" style="448" customWidth="1"/>
    <col min="2319" max="2319" width="12.21875" style="448" customWidth="1"/>
    <col min="2320" max="2321" width="8.88671875" style="448"/>
    <col min="2322" max="2322" width="12.77734375" style="448" bestFit="1" customWidth="1"/>
    <col min="2323" max="2560" width="8.88671875" style="448"/>
    <col min="2561" max="2561" width="7.44140625" style="448" customWidth="1"/>
    <col min="2562" max="2562" width="8.88671875" style="448"/>
    <col min="2563" max="2563" width="11.21875" style="448" customWidth="1"/>
    <col min="2564" max="2567" width="12.77734375" style="448" customWidth="1"/>
    <col min="2568" max="2568" width="5.6640625" style="448" customWidth="1"/>
    <col min="2569" max="2569" width="6.77734375" style="448" customWidth="1"/>
    <col min="2570" max="2570" width="10.88671875" style="448" bestFit="1" customWidth="1"/>
    <col min="2571" max="2574" width="12.77734375" style="448" customWidth="1"/>
    <col min="2575" max="2575" width="12.21875" style="448" customWidth="1"/>
    <col min="2576" max="2577" width="8.88671875" style="448"/>
    <col min="2578" max="2578" width="12.77734375" style="448" bestFit="1" customWidth="1"/>
    <col min="2579" max="2816" width="8.88671875" style="448"/>
    <col min="2817" max="2817" width="7.44140625" style="448" customWidth="1"/>
    <col min="2818" max="2818" width="8.88671875" style="448"/>
    <col min="2819" max="2819" width="11.21875" style="448" customWidth="1"/>
    <col min="2820" max="2823" width="12.77734375" style="448" customWidth="1"/>
    <col min="2824" max="2824" width="5.6640625" style="448" customWidth="1"/>
    <col min="2825" max="2825" width="6.77734375" style="448" customWidth="1"/>
    <col min="2826" max="2826" width="10.88671875" style="448" bestFit="1" customWidth="1"/>
    <col min="2827" max="2830" width="12.77734375" style="448" customWidth="1"/>
    <col min="2831" max="2831" width="12.21875" style="448" customWidth="1"/>
    <col min="2832" max="2833" width="8.88671875" style="448"/>
    <col min="2834" max="2834" width="12.77734375" style="448" bestFit="1" customWidth="1"/>
    <col min="2835" max="3072" width="8.88671875" style="448"/>
    <col min="3073" max="3073" width="7.44140625" style="448" customWidth="1"/>
    <col min="3074" max="3074" width="8.88671875" style="448"/>
    <col min="3075" max="3075" width="11.21875" style="448" customWidth="1"/>
    <col min="3076" max="3079" width="12.77734375" style="448" customWidth="1"/>
    <col min="3080" max="3080" width="5.6640625" style="448" customWidth="1"/>
    <col min="3081" max="3081" width="6.77734375" style="448" customWidth="1"/>
    <col min="3082" max="3082" width="10.88671875" style="448" bestFit="1" customWidth="1"/>
    <col min="3083" max="3086" width="12.77734375" style="448" customWidth="1"/>
    <col min="3087" max="3087" width="12.21875" style="448" customWidth="1"/>
    <col min="3088" max="3089" width="8.88671875" style="448"/>
    <col min="3090" max="3090" width="12.77734375" style="448" bestFit="1" customWidth="1"/>
    <col min="3091" max="3328" width="8.88671875" style="448"/>
    <col min="3329" max="3329" width="7.44140625" style="448" customWidth="1"/>
    <col min="3330" max="3330" width="8.88671875" style="448"/>
    <col min="3331" max="3331" width="11.21875" style="448" customWidth="1"/>
    <col min="3332" max="3335" width="12.77734375" style="448" customWidth="1"/>
    <col min="3336" max="3336" width="5.6640625" style="448" customWidth="1"/>
    <col min="3337" max="3337" width="6.77734375" style="448" customWidth="1"/>
    <col min="3338" max="3338" width="10.88671875" style="448" bestFit="1" customWidth="1"/>
    <col min="3339" max="3342" width="12.77734375" style="448" customWidth="1"/>
    <col min="3343" max="3343" width="12.21875" style="448" customWidth="1"/>
    <col min="3344" max="3345" width="8.88671875" style="448"/>
    <col min="3346" max="3346" width="12.77734375" style="448" bestFit="1" customWidth="1"/>
    <col min="3347" max="3584" width="8.88671875" style="448"/>
    <col min="3585" max="3585" width="7.44140625" style="448" customWidth="1"/>
    <col min="3586" max="3586" width="8.88671875" style="448"/>
    <col min="3587" max="3587" width="11.21875" style="448" customWidth="1"/>
    <col min="3588" max="3591" width="12.77734375" style="448" customWidth="1"/>
    <col min="3592" max="3592" width="5.6640625" style="448" customWidth="1"/>
    <col min="3593" max="3593" width="6.77734375" style="448" customWidth="1"/>
    <col min="3594" max="3594" width="10.88671875" style="448" bestFit="1" customWidth="1"/>
    <col min="3595" max="3598" width="12.77734375" style="448" customWidth="1"/>
    <col min="3599" max="3599" width="12.21875" style="448" customWidth="1"/>
    <col min="3600" max="3601" width="8.88671875" style="448"/>
    <col min="3602" max="3602" width="12.77734375" style="448" bestFit="1" customWidth="1"/>
    <col min="3603" max="3840" width="8.88671875" style="448"/>
    <col min="3841" max="3841" width="7.44140625" style="448" customWidth="1"/>
    <col min="3842" max="3842" width="8.88671875" style="448"/>
    <col min="3843" max="3843" width="11.21875" style="448" customWidth="1"/>
    <col min="3844" max="3847" width="12.77734375" style="448" customWidth="1"/>
    <col min="3848" max="3848" width="5.6640625" style="448" customWidth="1"/>
    <col min="3849" max="3849" width="6.77734375" style="448" customWidth="1"/>
    <col min="3850" max="3850" width="10.88671875" style="448" bestFit="1" customWidth="1"/>
    <col min="3851" max="3854" width="12.77734375" style="448" customWidth="1"/>
    <col min="3855" max="3855" width="12.21875" style="448" customWidth="1"/>
    <col min="3856" max="3857" width="8.88671875" style="448"/>
    <col min="3858" max="3858" width="12.77734375" style="448" bestFit="1" customWidth="1"/>
    <col min="3859" max="4096" width="8.88671875" style="448"/>
    <col min="4097" max="4097" width="7.44140625" style="448" customWidth="1"/>
    <col min="4098" max="4098" width="8.88671875" style="448"/>
    <col min="4099" max="4099" width="11.21875" style="448" customWidth="1"/>
    <col min="4100" max="4103" width="12.77734375" style="448" customWidth="1"/>
    <col min="4104" max="4104" width="5.6640625" style="448" customWidth="1"/>
    <col min="4105" max="4105" width="6.77734375" style="448" customWidth="1"/>
    <col min="4106" max="4106" width="10.88671875" style="448" bestFit="1" customWidth="1"/>
    <col min="4107" max="4110" width="12.77734375" style="448" customWidth="1"/>
    <col min="4111" max="4111" width="12.21875" style="448" customWidth="1"/>
    <col min="4112" max="4113" width="8.88671875" style="448"/>
    <col min="4114" max="4114" width="12.77734375" style="448" bestFit="1" customWidth="1"/>
    <col min="4115" max="4352" width="8.88671875" style="448"/>
    <col min="4353" max="4353" width="7.44140625" style="448" customWidth="1"/>
    <col min="4354" max="4354" width="8.88671875" style="448"/>
    <col min="4355" max="4355" width="11.21875" style="448" customWidth="1"/>
    <col min="4356" max="4359" width="12.77734375" style="448" customWidth="1"/>
    <col min="4360" max="4360" width="5.6640625" style="448" customWidth="1"/>
    <col min="4361" max="4361" width="6.77734375" style="448" customWidth="1"/>
    <col min="4362" max="4362" width="10.88671875" style="448" bestFit="1" customWidth="1"/>
    <col min="4363" max="4366" width="12.77734375" style="448" customWidth="1"/>
    <col min="4367" max="4367" width="12.21875" style="448" customWidth="1"/>
    <col min="4368" max="4369" width="8.88671875" style="448"/>
    <col min="4370" max="4370" width="12.77734375" style="448" bestFit="1" customWidth="1"/>
    <col min="4371" max="4608" width="8.88671875" style="448"/>
    <col min="4609" max="4609" width="7.44140625" style="448" customWidth="1"/>
    <col min="4610" max="4610" width="8.88671875" style="448"/>
    <col min="4611" max="4611" width="11.21875" style="448" customWidth="1"/>
    <col min="4612" max="4615" width="12.77734375" style="448" customWidth="1"/>
    <col min="4616" max="4616" width="5.6640625" style="448" customWidth="1"/>
    <col min="4617" max="4617" width="6.77734375" style="448" customWidth="1"/>
    <col min="4618" max="4618" width="10.88671875" style="448" bestFit="1" customWidth="1"/>
    <col min="4619" max="4622" width="12.77734375" style="448" customWidth="1"/>
    <col min="4623" max="4623" width="12.21875" style="448" customWidth="1"/>
    <col min="4624" max="4625" width="8.88671875" style="448"/>
    <col min="4626" max="4626" width="12.77734375" style="448" bestFit="1" customWidth="1"/>
    <col min="4627" max="4864" width="8.88671875" style="448"/>
    <col min="4865" max="4865" width="7.44140625" style="448" customWidth="1"/>
    <col min="4866" max="4866" width="8.88671875" style="448"/>
    <col min="4867" max="4867" width="11.21875" style="448" customWidth="1"/>
    <col min="4868" max="4871" width="12.77734375" style="448" customWidth="1"/>
    <col min="4872" max="4872" width="5.6640625" style="448" customWidth="1"/>
    <col min="4873" max="4873" width="6.77734375" style="448" customWidth="1"/>
    <col min="4874" max="4874" width="10.88671875" style="448" bestFit="1" customWidth="1"/>
    <col min="4875" max="4878" width="12.77734375" style="448" customWidth="1"/>
    <col min="4879" max="4879" width="12.21875" style="448" customWidth="1"/>
    <col min="4880" max="4881" width="8.88671875" style="448"/>
    <col min="4882" max="4882" width="12.77734375" style="448" bestFit="1" customWidth="1"/>
    <col min="4883" max="5120" width="8.88671875" style="448"/>
    <col min="5121" max="5121" width="7.44140625" style="448" customWidth="1"/>
    <col min="5122" max="5122" width="8.88671875" style="448"/>
    <col min="5123" max="5123" width="11.21875" style="448" customWidth="1"/>
    <col min="5124" max="5127" width="12.77734375" style="448" customWidth="1"/>
    <col min="5128" max="5128" width="5.6640625" style="448" customWidth="1"/>
    <col min="5129" max="5129" width="6.77734375" style="448" customWidth="1"/>
    <col min="5130" max="5130" width="10.88671875" style="448" bestFit="1" customWidth="1"/>
    <col min="5131" max="5134" width="12.77734375" style="448" customWidth="1"/>
    <col min="5135" max="5135" width="12.21875" style="448" customWidth="1"/>
    <col min="5136" max="5137" width="8.88671875" style="448"/>
    <col min="5138" max="5138" width="12.77734375" style="448" bestFit="1" customWidth="1"/>
    <col min="5139" max="5376" width="8.88671875" style="448"/>
    <col min="5377" max="5377" width="7.44140625" style="448" customWidth="1"/>
    <col min="5378" max="5378" width="8.88671875" style="448"/>
    <col min="5379" max="5379" width="11.21875" style="448" customWidth="1"/>
    <col min="5380" max="5383" width="12.77734375" style="448" customWidth="1"/>
    <col min="5384" max="5384" width="5.6640625" style="448" customWidth="1"/>
    <col min="5385" max="5385" width="6.77734375" style="448" customWidth="1"/>
    <col min="5386" max="5386" width="10.88671875" style="448" bestFit="1" customWidth="1"/>
    <col min="5387" max="5390" width="12.77734375" style="448" customWidth="1"/>
    <col min="5391" max="5391" width="12.21875" style="448" customWidth="1"/>
    <col min="5392" max="5393" width="8.88671875" style="448"/>
    <col min="5394" max="5394" width="12.77734375" style="448" bestFit="1" customWidth="1"/>
    <col min="5395" max="5632" width="8.88671875" style="448"/>
    <col min="5633" max="5633" width="7.44140625" style="448" customWidth="1"/>
    <col min="5634" max="5634" width="8.88671875" style="448"/>
    <col min="5635" max="5635" width="11.21875" style="448" customWidth="1"/>
    <col min="5636" max="5639" width="12.77734375" style="448" customWidth="1"/>
    <col min="5640" max="5640" width="5.6640625" style="448" customWidth="1"/>
    <col min="5641" max="5641" width="6.77734375" style="448" customWidth="1"/>
    <col min="5642" max="5642" width="10.88671875" style="448" bestFit="1" customWidth="1"/>
    <col min="5643" max="5646" width="12.77734375" style="448" customWidth="1"/>
    <col min="5647" max="5647" width="12.21875" style="448" customWidth="1"/>
    <col min="5648" max="5649" width="8.88671875" style="448"/>
    <col min="5650" max="5650" width="12.77734375" style="448" bestFit="1" customWidth="1"/>
    <col min="5651" max="5888" width="8.88671875" style="448"/>
    <col min="5889" max="5889" width="7.44140625" style="448" customWidth="1"/>
    <col min="5890" max="5890" width="8.88671875" style="448"/>
    <col min="5891" max="5891" width="11.21875" style="448" customWidth="1"/>
    <col min="5892" max="5895" width="12.77734375" style="448" customWidth="1"/>
    <col min="5896" max="5896" width="5.6640625" style="448" customWidth="1"/>
    <col min="5897" max="5897" width="6.77734375" style="448" customWidth="1"/>
    <col min="5898" max="5898" width="10.88671875" style="448" bestFit="1" customWidth="1"/>
    <col min="5899" max="5902" width="12.77734375" style="448" customWidth="1"/>
    <col min="5903" max="5903" width="12.21875" style="448" customWidth="1"/>
    <col min="5904" max="5905" width="8.88671875" style="448"/>
    <col min="5906" max="5906" width="12.77734375" style="448" bestFit="1" customWidth="1"/>
    <col min="5907" max="6144" width="8.88671875" style="448"/>
    <col min="6145" max="6145" width="7.44140625" style="448" customWidth="1"/>
    <col min="6146" max="6146" width="8.88671875" style="448"/>
    <col min="6147" max="6147" width="11.21875" style="448" customWidth="1"/>
    <col min="6148" max="6151" width="12.77734375" style="448" customWidth="1"/>
    <col min="6152" max="6152" width="5.6640625" style="448" customWidth="1"/>
    <col min="6153" max="6153" width="6.77734375" style="448" customWidth="1"/>
    <col min="6154" max="6154" width="10.88671875" style="448" bestFit="1" customWidth="1"/>
    <col min="6155" max="6158" width="12.77734375" style="448" customWidth="1"/>
    <col min="6159" max="6159" width="12.21875" style="448" customWidth="1"/>
    <col min="6160" max="6161" width="8.88671875" style="448"/>
    <col min="6162" max="6162" width="12.77734375" style="448" bestFit="1" customWidth="1"/>
    <col min="6163" max="6400" width="8.88671875" style="448"/>
    <col min="6401" max="6401" width="7.44140625" style="448" customWidth="1"/>
    <col min="6402" max="6402" width="8.88671875" style="448"/>
    <col min="6403" max="6403" width="11.21875" style="448" customWidth="1"/>
    <col min="6404" max="6407" width="12.77734375" style="448" customWidth="1"/>
    <col min="6408" max="6408" width="5.6640625" style="448" customWidth="1"/>
    <col min="6409" max="6409" width="6.77734375" style="448" customWidth="1"/>
    <col min="6410" max="6410" width="10.88671875" style="448" bestFit="1" customWidth="1"/>
    <col min="6411" max="6414" width="12.77734375" style="448" customWidth="1"/>
    <col min="6415" max="6415" width="12.21875" style="448" customWidth="1"/>
    <col min="6416" max="6417" width="8.88671875" style="448"/>
    <col min="6418" max="6418" width="12.77734375" style="448" bestFit="1" customWidth="1"/>
    <col min="6419" max="6656" width="8.88671875" style="448"/>
    <col min="6657" max="6657" width="7.44140625" style="448" customWidth="1"/>
    <col min="6658" max="6658" width="8.88671875" style="448"/>
    <col min="6659" max="6659" width="11.21875" style="448" customWidth="1"/>
    <col min="6660" max="6663" width="12.77734375" style="448" customWidth="1"/>
    <col min="6664" max="6664" width="5.6640625" style="448" customWidth="1"/>
    <col min="6665" max="6665" width="6.77734375" style="448" customWidth="1"/>
    <col min="6666" max="6666" width="10.88671875" style="448" bestFit="1" customWidth="1"/>
    <col min="6667" max="6670" width="12.77734375" style="448" customWidth="1"/>
    <col min="6671" max="6671" width="12.21875" style="448" customWidth="1"/>
    <col min="6672" max="6673" width="8.88671875" style="448"/>
    <col min="6674" max="6674" width="12.77734375" style="448" bestFit="1" customWidth="1"/>
    <col min="6675" max="6912" width="8.88671875" style="448"/>
    <col min="6913" max="6913" width="7.44140625" style="448" customWidth="1"/>
    <col min="6914" max="6914" width="8.88671875" style="448"/>
    <col min="6915" max="6915" width="11.21875" style="448" customWidth="1"/>
    <col min="6916" max="6919" width="12.77734375" style="448" customWidth="1"/>
    <col min="6920" max="6920" width="5.6640625" style="448" customWidth="1"/>
    <col min="6921" max="6921" width="6.77734375" style="448" customWidth="1"/>
    <col min="6922" max="6922" width="10.88671875" style="448" bestFit="1" customWidth="1"/>
    <col min="6923" max="6926" width="12.77734375" style="448" customWidth="1"/>
    <col min="6927" max="6927" width="12.21875" style="448" customWidth="1"/>
    <col min="6928" max="6929" width="8.88671875" style="448"/>
    <col min="6930" max="6930" width="12.77734375" style="448" bestFit="1" customWidth="1"/>
    <col min="6931" max="7168" width="8.88671875" style="448"/>
    <col min="7169" max="7169" width="7.44140625" style="448" customWidth="1"/>
    <col min="7170" max="7170" width="8.88671875" style="448"/>
    <col min="7171" max="7171" width="11.21875" style="448" customWidth="1"/>
    <col min="7172" max="7175" width="12.77734375" style="448" customWidth="1"/>
    <col min="7176" max="7176" width="5.6640625" style="448" customWidth="1"/>
    <col min="7177" max="7177" width="6.77734375" style="448" customWidth="1"/>
    <col min="7178" max="7178" width="10.88671875" style="448" bestFit="1" customWidth="1"/>
    <col min="7179" max="7182" width="12.77734375" style="448" customWidth="1"/>
    <col min="7183" max="7183" width="12.21875" style="448" customWidth="1"/>
    <col min="7184" max="7185" width="8.88671875" style="448"/>
    <col min="7186" max="7186" width="12.77734375" style="448" bestFit="1" customWidth="1"/>
    <col min="7187" max="7424" width="8.88671875" style="448"/>
    <col min="7425" max="7425" width="7.44140625" style="448" customWidth="1"/>
    <col min="7426" max="7426" width="8.88671875" style="448"/>
    <col min="7427" max="7427" width="11.21875" style="448" customWidth="1"/>
    <col min="7428" max="7431" width="12.77734375" style="448" customWidth="1"/>
    <col min="7432" max="7432" width="5.6640625" style="448" customWidth="1"/>
    <col min="7433" max="7433" width="6.77734375" style="448" customWidth="1"/>
    <col min="7434" max="7434" width="10.88671875" style="448" bestFit="1" customWidth="1"/>
    <col min="7435" max="7438" width="12.77734375" style="448" customWidth="1"/>
    <col min="7439" max="7439" width="12.21875" style="448" customWidth="1"/>
    <col min="7440" max="7441" width="8.88671875" style="448"/>
    <col min="7442" max="7442" width="12.77734375" style="448" bestFit="1" customWidth="1"/>
    <col min="7443" max="7680" width="8.88671875" style="448"/>
    <col min="7681" max="7681" width="7.44140625" style="448" customWidth="1"/>
    <col min="7682" max="7682" width="8.88671875" style="448"/>
    <col min="7683" max="7683" width="11.21875" style="448" customWidth="1"/>
    <col min="7684" max="7687" width="12.77734375" style="448" customWidth="1"/>
    <col min="7688" max="7688" width="5.6640625" style="448" customWidth="1"/>
    <col min="7689" max="7689" width="6.77734375" style="448" customWidth="1"/>
    <col min="7690" max="7690" width="10.88671875" style="448" bestFit="1" customWidth="1"/>
    <col min="7691" max="7694" width="12.77734375" style="448" customWidth="1"/>
    <col min="7695" max="7695" width="12.21875" style="448" customWidth="1"/>
    <col min="7696" max="7697" width="8.88671875" style="448"/>
    <col min="7698" max="7698" width="12.77734375" style="448" bestFit="1" customWidth="1"/>
    <col min="7699" max="7936" width="8.88671875" style="448"/>
    <col min="7937" max="7937" width="7.44140625" style="448" customWidth="1"/>
    <col min="7938" max="7938" width="8.88671875" style="448"/>
    <col min="7939" max="7939" width="11.21875" style="448" customWidth="1"/>
    <col min="7940" max="7943" width="12.77734375" style="448" customWidth="1"/>
    <col min="7944" max="7944" width="5.6640625" style="448" customWidth="1"/>
    <col min="7945" max="7945" width="6.77734375" style="448" customWidth="1"/>
    <col min="7946" max="7946" width="10.88671875" style="448" bestFit="1" customWidth="1"/>
    <col min="7947" max="7950" width="12.77734375" style="448" customWidth="1"/>
    <col min="7951" max="7951" width="12.21875" style="448" customWidth="1"/>
    <col min="7952" max="7953" width="8.88671875" style="448"/>
    <col min="7954" max="7954" width="12.77734375" style="448" bestFit="1" customWidth="1"/>
    <col min="7955" max="8192" width="8.88671875" style="448"/>
    <col min="8193" max="8193" width="7.44140625" style="448" customWidth="1"/>
    <col min="8194" max="8194" width="8.88671875" style="448"/>
    <col min="8195" max="8195" width="11.21875" style="448" customWidth="1"/>
    <col min="8196" max="8199" width="12.77734375" style="448" customWidth="1"/>
    <col min="8200" max="8200" width="5.6640625" style="448" customWidth="1"/>
    <col min="8201" max="8201" width="6.77734375" style="448" customWidth="1"/>
    <col min="8202" max="8202" width="10.88671875" style="448" bestFit="1" customWidth="1"/>
    <col min="8203" max="8206" width="12.77734375" style="448" customWidth="1"/>
    <col min="8207" max="8207" width="12.21875" style="448" customWidth="1"/>
    <col min="8208" max="8209" width="8.88671875" style="448"/>
    <col min="8210" max="8210" width="12.77734375" style="448" bestFit="1" customWidth="1"/>
    <col min="8211" max="8448" width="8.88671875" style="448"/>
    <col min="8449" max="8449" width="7.44140625" style="448" customWidth="1"/>
    <col min="8450" max="8450" width="8.88671875" style="448"/>
    <col min="8451" max="8451" width="11.21875" style="448" customWidth="1"/>
    <col min="8452" max="8455" width="12.77734375" style="448" customWidth="1"/>
    <col min="8456" max="8456" width="5.6640625" style="448" customWidth="1"/>
    <col min="8457" max="8457" width="6.77734375" style="448" customWidth="1"/>
    <col min="8458" max="8458" width="10.88671875" style="448" bestFit="1" customWidth="1"/>
    <col min="8459" max="8462" width="12.77734375" style="448" customWidth="1"/>
    <col min="8463" max="8463" width="12.21875" style="448" customWidth="1"/>
    <col min="8464" max="8465" width="8.88671875" style="448"/>
    <col min="8466" max="8466" width="12.77734375" style="448" bestFit="1" customWidth="1"/>
    <col min="8467" max="8704" width="8.88671875" style="448"/>
    <col min="8705" max="8705" width="7.44140625" style="448" customWidth="1"/>
    <col min="8706" max="8706" width="8.88671875" style="448"/>
    <col min="8707" max="8707" width="11.21875" style="448" customWidth="1"/>
    <col min="8708" max="8711" width="12.77734375" style="448" customWidth="1"/>
    <col min="8712" max="8712" width="5.6640625" style="448" customWidth="1"/>
    <col min="8713" max="8713" width="6.77734375" style="448" customWidth="1"/>
    <col min="8714" max="8714" width="10.88671875" style="448" bestFit="1" customWidth="1"/>
    <col min="8715" max="8718" width="12.77734375" style="448" customWidth="1"/>
    <col min="8719" max="8719" width="12.21875" style="448" customWidth="1"/>
    <col min="8720" max="8721" width="8.88671875" style="448"/>
    <col min="8722" max="8722" width="12.77734375" style="448" bestFit="1" customWidth="1"/>
    <col min="8723" max="8960" width="8.88671875" style="448"/>
    <col min="8961" max="8961" width="7.44140625" style="448" customWidth="1"/>
    <col min="8962" max="8962" width="8.88671875" style="448"/>
    <col min="8963" max="8963" width="11.21875" style="448" customWidth="1"/>
    <col min="8964" max="8967" width="12.77734375" style="448" customWidth="1"/>
    <col min="8968" max="8968" width="5.6640625" style="448" customWidth="1"/>
    <col min="8969" max="8969" width="6.77734375" style="448" customWidth="1"/>
    <col min="8970" max="8970" width="10.88671875" style="448" bestFit="1" customWidth="1"/>
    <col min="8971" max="8974" width="12.77734375" style="448" customWidth="1"/>
    <col min="8975" max="8975" width="12.21875" style="448" customWidth="1"/>
    <col min="8976" max="8977" width="8.88671875" style="448"/>
    <col min="8978" max="8978" width="12.77734375" style="448" bestFit="1" customWidth="1"/>
    <col min="8979" max="9216" width="8.88671875" style="448"/>
    <col min="9217" max="9217" width="7.44140625" style="448" customWidth="1"/>
    <col min="9218" max="9218" width="8.88671875" style="448"/>
    <col min="9219" max="9219" width="11.21875" style="448" customWidth="1"/>
    <col min="9220" max="9223" width="12.77734375" style="448" customWidth="1"/>
    <col min="9224" max="9224" width="5.6640625" style="448" customWidth="1"/>
    <col min="9225" max="9225" width="6.77734375" style="448" customWidth="1"/>
    <col min="9226" max="9226" width="10.88671875" style="448" bestFit="1" customWidth="1"/>
    <col min="9227" max="9230" width="12.77734375" style="448" customWidth="1"/>
    <col min="9231" max="9231" width="12.21875" style="448" customWidth="1"/>
    <col min="9232" max="9233" width="8.88671875" style="448"/>
    <col min="9234" max="9234" width="12.77734375" style="448" bestFit="1" customWidth="1"/>
    <col min="9235" max="9472" width="8.88671875" style="448"/>
    <col min="9473" max="9473" width="7.44140625" style="448" customWidth="1"/>
    <col min="9474" max="9474" width="8.88671875" style="448"/>
    <col min="9475" max="9475" width="11.21875" style="448" customWidth="1"/>
    <col min="9476" max="9479" width="12.77734375" style="448" customWidth="1"/>
    <col min="9480" max="9480" width="5.6640625" style="448" customWidth="1"/>
    <col min="9481" max="9481" width="6.77734375" style="448" customWidth="1"/>
    <col min="9482" max="9482" width="10.88671875" style="448" bestFit="1" customWidth="1"/>
    <col min="9483" max="9486" width="12.77734375" style="448" customWidth="1"/>
    <col min="9487" max="9487" width="12.21875" style="448" customWidth="1"/>
    <col min="9488" max="9489" width="8.88671875" style="448"/>
    <col min="9490" max="9490" width="12.77734375" style="448" bestFit="1" customWidth="1"/>
    <col min="9491" max="9728" width="8.88671875" style="448"/>
    <col min="9729" max="9729" width="7.44140625" style="448" customWidth="1"/>
    <col min="9730" max="9730" width="8.88671875" style="448"/>
    <col min="9731" max="9731" width="11.21875" style="448" customWidth="1"/>
    <col min="9732" max="9735" width="12.77734375" style="448" customWidth="1"/>
    <col min="9736" max="9736" width="5.6640625" style="448" customWidth="1"/>
    <col min="9737" max="9737" width="6.77734375" style="448" customWidth="1"/>
    <col min="9738" max="9738" width="10.88671875" style="448" bestFit="1" customWidth="1"/>
    <col min="9739" max="9742" width="12.77734375" style="448" customWidth="1"/>
    <col min="9743" max="9743" width="12.21875" style="448" customWidth="1"/>
    <col min="9744" max="9745" width="8.88671875" style="448"/>
    <col min="9746" max="9746" width="12.77734375" style="448" bestFit="1" customWidth="1"/>
    <col min="9747" max="9984" width="8.88671875" style="448"/>
    <col min="9985" max="9985" width="7.44140625" style="448" customWidth="1"/>
    <col min="9986" max="9986" width="8.88671875" style="448"/>
    <col min="9987" max="9987" width="11.21875" style="448" customWidth="1"/>
    <col min="9988" max="9991" width="12.77734375" style="448" customWidth="1"/>
    <col min="9992" max="9992" width="5.6640625" style="448" customWidth="1"/>
    <col min="9993" max="9993" width="6.77734375" style="448" customWidth="1"/>
    <col min="9994" max="9994" width="10.88671875" style="448" bestFit="1" customWidth="1"/>
    <col min="9995" max="9998" width="12.77734375" style="448" customWidth="1"/>
    <col min="9999" max="9999" width="12.21875" style="448" customWidth="1"/>
    <col min="10000" max="10001" width="8.88671875" style="448"/>
    <col min="10002" max="10002" width="12.77734375" style="448" bestFit="1" customWidth="1"/>
    <col min="10003" max="10240" width="8.88671875" style="448"/>
    <col min="10241" max="10241" width="7.44140625" style="448" customWidth="1"/>
    <col min="10242" max="10242" width="8.88671875" style="448"/>
    <col min="10243" max="10243" width="11.21875" style="448" customWidth="1"/>
    <col min="10244" max="10247" width="12.77734375" style="448" customWidth="1"/>
    <col min="10248" max="10248" width="5.6640625" style="448" customWidth="1"/>
    <col min="10249" max="10249" width="6.77734375" style="448" customWidth="1"/>
    <col min="10250" max="10250" width="10.88671875" style="448" bestFit="1" customWidth="1"/>
    <col min="10251" max="10254" width="12.77734375" style="448" customWidth="1"/>
    <col min="10255" max="10255" width="12.21875" style="448" customWidth="1"/>
    <col min="10256" max="10257" width="8.88671875" style="448"/>
    <col min="10258" max="10258" width="12.77734375" style="448" bestFit="1" customWidth="1"/>
    <col min="10259" max="10496" width="8.88671875" style="448"/>
    <col min="10497" max="10497" width="7.44140625" style="448" customWidth="1"/>
    <col min="10498" max="10498" width="8.88671875" style="448"/>
    <col min="10499" max="10499" width="11.21875" style="448" customWidth="1"/>
    <col min="10500" max="10503" width="12.77734375" style="448" customWidth="1"/>
    <col min="10504" max="10504" width="5.6640625" style="448" customWidth="1"/>
    <col min="10505" max="10505" width="6.77734375" style="448" customWidth="1"/>
    <col min="10506" max="10506" width="10.88671875" style="448" bestFit="1" customWidth="1"/>
    <col min="10507" max="10510" width="12.77734375" style="448" customWidth="1"/>
    <col min="10511" max="10511" width="12.21875" style="448" customWidth="1"/>
    <col min="10512" max="10513" width="8.88671875" style="448"/>
    <col min="10514" max="10514" width="12.77734375" style="448" bestFit="1" customWidth="1"/>
    <col min="10515" max="10752" width="8.88671875" style="448"/>
    <col min="10753" max="10753" width="7.44140625" style="448" customWidth="1"/>
    <col min="10754" max="10754" width="8.88671875" style="448"/>
    <col min="10755" max="10755" width="11.21875" style="448" customWidth="1"/>
    <col min="10756" max="10759" width="12.77734375" style="448" customWidth="1"/>
    <col min="10760" max="10760" width="5.6640625" style="448" customWidth="1"/>
    <col min="10761" max="10761" width="6.77734375" style="448" customWidth="1"/>
    <col min="10762" max="10762" width="10.88671875" style="448" bestFit="1" customWidth="1"/>
    <col min="10763" max="10766" width="12.77734375" style="448" customWidth="1"/>
    <col min="10767" max="10767" width="12.21875" style="448" customWidth="1"/>
    <col min="10768" max="10769" width="8.88671875" style="448"/>
    <col min="10770" max="10770" width="12.77734375" style="448" bestFit="1" customWidth="1"/>
    <col min="10771" max="11008" width="8.88671875" style="448"/>
    <col min="11009" max="11009" width="7.44140625" style="448" customWidth="1"/>
    <col min="11010" max="11010" width="8.88671875" style="448"/>
    <col min="11011" max="11011" width="11.21875" style="448" customWidth="1"/>
    <col min="11012" max="11015" width="12.77734375" style="448" customWidth="1"/>
    <col min="11016" max="11016" width="5.6640625" style="448" customWidth="1"/>
    <col min="11017" max="11017" width="6.77734375" style="448" customWidth="1"/>
    <col min="11018" max="11018" width="10.88671875" style="448" bestFit="1" customWidth="1"/>
    <col min="11019" max="11022" width="12.77734375" style="448" customWidth="1"/>
    <col min="11023" max="11023" width="12.21875" style="448" customWidth="1"/>
    <col min="11024" max="11025" width="8.88671875" style="448"/>
    <col min="11026" max="11026" width="12.77734375" style="448" bestFit="1" customWidth="1"/>
    <col min="11027" max="11264" width="8.88671875" style="448"/>
    <col min="11265" max="11265" width="7.44140625" style="448" customWidth="1"/>
    <col min="11266" max="11266" width="8.88671875" style="448"/>
    <col min="11267" max="11267" width="11.21875" style="448" customWidth="1"/>
    <col min="11268" max="11271" width="12.77734375" style="448" customWidth="1"/>
    <col min="11272" max="11272" width="5.6640625" style="448" customWidth="1"/>
    <col min="11273" max="11273" width="6.77734375" style="448" customWidth="1"/>
    <col min="11274" max="11274" width="10.88671875" style="448" bestFit="1" customWidth="1"/>
    <col min="11275" max="11278" width="12.77734375" style="448" customWidth="1"/>
    <col min="11279" max="11279" width="12.21875" style="448" customWidth="1"/>
    <col min="11280" max="11281" width="8.88671875" style="448"/>
    <col min="11282" max="11282" width="12.77734375" style="448" bestFit="1" customWidth="1"/>
    <col min="11283" max="11520" width="8.88671875" style="448"/>
    <col min="11521" max="11521" width="7.44140625" style="448" customWidth="1"/>
    <col min="11522" max="11522" width="8.88671875" style="448"/>
    <col min="11523" max="11523" width="11.21875" style="448" customWidth="1"/>
    <col min="11524" max="11527" width="12.77734375" style="448" customWidth="1"/>
    <col min="11528" max="11528" width="5.6640625" style="448" customWidth="1"/>
    <col min="11529" max="11529" width="6.77734375" style="448" customWidth="1"/>
    <col min="11530" max="11530" width="10.88671875" style="448" bestFit="1" customWidth="1"/>
    <col min="11531" max="11534" width="12.77734375" style="448" customWidth="1"/>
    <col min="11535" max="11535" width="12.21875" style="448" customWidth="1"/>
    <col min="11536" max="11537" width="8.88671875" style="448"/>
    <col min="11538" max="11538" width="12.77734375" style="448" bestFit="1" customWidth="1"/>
    <col min="11539" max="11776" width="8.88671875" style="448"/>
    <col min="11777" max="11777" width="7.44140625" style="448" customWidth="1"/>
    <col min="11778" max="11778" width="8.88671875" style="448"/>
    <col min="11779" max="11779" width="11.21875" style="448" customWidth="1"/>
    <col min="11780" max="11783" width="12.77734375" style="448" customWidth="1"/>
    <col min="11784" max="11784" width="5.6640625" style="448" customWidth="1"/>
    <col min="11785" max="11785" width="6.77734375" style="448" customWidth="1"/>
    <col min="11786" max="11786" width="10.88671875" style="448" bestFit="1" customWidth="1"/>
    <col min="11787" max="11790" width="12.77734375" style="448" customWidth="1"/>
    <col min="11791" max="11791" width="12.21875" style="448" customWidth="1"/>
    <col min="11792" max="11793" width="8.88671875" style="448"/>
    <col min="11794" max="11794" width="12.77734375" style="448" bestFit="1" customWidth="1"/>
    <col min="11795" max="12032" width="8.88671875" style="448"/>
    <col min="12033" max="12033" width="7.44140625" style="448" customWidth="1"/>
    <col min="12034" max="12034" width="8.88671875" style="448"/>
    <col min="12035" max="12035" width="11.21875" style="448" customWidth="1"/>
    <col min="12036" max="12039" width="12.77734375" style="448" customWidth="1"/>
    <col min="12040" max="12040" width="5.6640625" style="448" customWidth="1"/>
    <col min="12041" max="12041" width="6.77734375" style="448" customWidth="1"/>
    <col min="12042" max="12042" width="10.88671875" style="448" bestFit="1" customWidth="1"/>
    <col min="12043" max="12046" width="12.77734375" style="448" customWidth="1"/>
    <col min="12047" max="12047" width="12.21875" style="448" customWidth="1"/>
    <col min="12048" max="12049" width="8.88671875" style="448"/>
    <col min="12050" max="12050" width="12.77734375" style="448" bestFit="1" customWidth="1"/>
    <col min="12051" max="12288" width="8.88671875" style="448"/>
    <col min="12289" max="12289" width="7.44140625" style="448" customWidth="1"/>
    <col min="12290" max="12290" width="8.88671875" style="448"/>
    <col min="12291" max="12291" width="11.21875" style="448" customWidth="1"/>
    <col min="12292" max="12295" width="12.77734375" style="448" customWidth="1"/>
    <col min="12296" max="12296" width="5.6640625" style="448" customWidth="1"/>
    <col min="12297" max="12297" width="6.77734375" style="448" customWidth="1"/>
    <col min="12298" max="12298" width="10.88671875" style="448" bestFit="1" customWidth="1"/>
    <col min="12299" max="12302" width="12.77734375" style="448" customWidth="1"/>
    <col min="12303" max="12303" width="12.21875" style="448" customWidth="1"/>
    <col min="12304" max="12305" width="8.88671875" style="448"/>
    <col min="12306" max="12306" width="12.77734375" style="448" bestFit="1" customWidth="1"/>
    <col min="12307" max="12544" width="8.88671875" style="448"/>
    <col min="12545" max="12545" width="7.44140625" style="448" customWidth="1"/>
    <col min="12546" max="12546" width="8.88671875" style="448"/>
    <col min="12547" max="12547" width="11.21875" style="448" customWidth="1"/>
    <col min="12548" max="12551" width="12.77734375" style="448" customWidth="1"/>
    <col min="12552" max="12552" width="5.6640625" style="448" customWidth="1"/>
    <col min="12553" max="12553" width="6.77734375" style="448" customWidth="1"/>
    <col min="12554" max="12554" width="10.88671875" style="448" bestFit="1" customWidth="1"/>
    <col min="12555" max="12558" width="12.77734375" style="448" customWidth="1"/>
    <col min="12559" max="12559" width="12.21875" style="448" customWidth="1"/>
    <col min="12560" max="12561" width="8.88671875" style="448"/>
    <col min="12562" max="12562" width="12.77734375" style="448" bestFit="1" customWidth="1"/>
    <col min="12563" max="12800" width="8.88671875" style="448"/>
    <col min="12801" max="12801" width="7.44140625" style="448" customWidth="1"/>
    <col min="12802" max="12802" width="8.88671875" style="448"/>
    <col min="12803" max="12803" width="11.21875" style="448" customWidth="1"/>
    <col min="12804" max="12807" width="12.77734375" style="448" customWidth="1"/>
    <col min="12808" max="12808" width="5.6640625" style="448" customWidth="1"/>
    <col min="12809" max="12809" width="6.77734375" style="448" customWidth="1"/>
    <col min="12810" max="12810" width="10.88671875" style="448" bestFit="1" customWidth="1"/>
    <col min="12811" max="12814" width="12.77734375" style="448" customWidth="1"/>
    <col min="12815" max="12815" width="12.21875" style="448" customWidth="1"/>
    <col min="12816" max="12817" width="8.88671875" style="448"/>
    <col min="12818" max="12818" width="12.77734375" style="448" bestFit="1" customWidth="1"/>
    <col min="12819" max="13056" width="8.88671875" style="448"/>
    <col min="13057" max="13057" width="7.44140625" style="448" customWidth="1"/>
    <col min="13058" max="13058" width="8.88671875" style="448"/>
    <col min="13059" max="13059" width="11.21875" style="448" customWidth="1"/>
    <col min="13060" max="13063" width="12.77734375" style="448" customWidth="1"/>
    <col min="13064" max="13064" width="5.6640625" style="448" customWidth="1"/>
    <col min="13065" max="13065" width="6.77734375" style="448" customWidth="1"/>
    <col min="13066" max="13066" width="10.88671875" style="448" bestFit="1" customWidth="1"/>
    <col min="13067" max="13070" width="12.77734375" style="448" customWidth="1"/>
    <col min="13071" max="13071" width="12.21875" style="448" customWidth="1"/>
    <col min="13072" max="13073" width="8.88671875" style="448"/>
    <col min="13074" max="13074" width="12.77734375" style="448" bestFit="1" customWidth="1"/>
    <col min="13075" max="13312" width="8.88671875" style="448"/>
    <col min="13313" max="13313" width="7.44140625" style="448" customWidth="1"/>
    <col min="13314" max="13314" width="8.88671875" style="448"/>
    <col min="13315" max="13315" width="11.21875" style="448" customWidth="1"/>
    <col min="13316" max="13319" width="12.77734375" style="448" customWidth="1"/>
    <col min="13320" max="13320" width="5.6640625" style="448" customWidth="1"/>
    <col min="13321" max="13321" width="6.77734375" style="448" customWidth="1"/>
    <col min="13322" max="13322" width="10.88671875" style="448" bestFit="1" customWidth="1"/>
    <col min="13323" max="13326" width="12.77734375" style="448" customWidth="1"/>
    <col min="13327" max="13327" width="12.21875" style="448" customWidth="1"/>
    <col min="13328" max="13329" width="8.88671875" style="448"/>
    <col min="13330" max="13330" width="12.77734375" style="448" bestFit="1" customWidth="1"/>
    <col min="13331" max="13568" width="8.88671875" style="448"/>
    <col min="13569" max="13569" width="7.44140625" style="448" customWidth="1"/>
    <col min="13570" max="13570" width="8.88671875" style="448"/>
    <col min="13571" max="13571" width="11.21875" style="448" customWidth="1"/>
    <col min="13572" max="13575" width="12.77734375" style="448" customWidth="1"/>
    <col min="13576" max="13576" width="5.6640625" style="448" customWidth="1"/>
    <col min="13577" max="13577" width="6.77734375" style="448" customWidth="1"/>
    <col min="13578" max="13578" width="10.88671875" style="448" bestFit="1" customWidth="1"/>
    <col min="13579" max="13582" width="12.77734375" style="448" customWidth="1"/>
    <col min="13583" max="13583" width="12.21875" style="448" customWidth="1"/>
    <col min="13584" max="13585" width="8.88671875" style="448"/>
    <col min="13586" max="13586" width="12.77734375" style="448" bestFit="1" customWidth="1"/>
    <col min="13587" max="13824" width="8.88671875" style="448"/>
    <col min="13825" max="13825" width="7.44140625" style="448" customWidth="1"/>
    <col min="13826" max="13826" width="8.88671875" style="448"/>
    <col min="13827" max="13827" width="11.21875" style="448" customWidth="1"/>
    <col min="13828" max="13831" width="12.77734375" style="448" customWidth="1"/>
    <col min="13832" max="13832" width="5.6640625" style="448" customWidth="1"/>
    <col min="13833" max="13833" width="6.77734375" style="448" customWidth="1"/>
    <col min="13834" max="13834" width="10.88671875" style="448" bestFit="1" customWidth="1"/>
    <col min="13835" max="13838" width="12.77734375" style="448" customWidth="1"/>
    <col min="13839" max="13839" width="12.21875" style="448" customWidth="1"/>
    <col min="13840" max="13841" width="8.88671875" style="448"/>
    <col min="13842" max="13842" width="12.77734375" style="448" bestFit="1" customWidth="1"/>
    <col min="13843" max="14080" width="8.88671875" style="448"/>
    <col min="14081" max="14081" width="7.44140625" style="448" customWidth="1"/>
    <col min="14082" max="14082" width="8.88671875" style="448"/>
    <col min="14083" max="14083" width="11.21875" style="448" customWidth="1"/>
    <col min="14084" max="14087" width="12.77734375" style="448" customWidth="1"/>
    <col min="14088" max="14088" width="5.6640625" style="448" customWidth="1"/>
    <col min="14089" max="14089" width="6.77734375" style="448" customWidth="1"/>
    <col min="14090" max="14090" width="10.88671875" style="448" bestFit="1" customWidth="1"/>
    <col min="14091" max="14094" width="12.77734375" style="448" customWidth="1"/>
    <col min="14095" max="14095" width="12.21875" style="448" customWidth="1"/>
    <col min="14096" max="14097" width="8.88671875" style="448"/>
    <col min="14098" max="14098" width="12.77734375" style="448" bestFit="1" customWidth="1"/>
    <col min="14099" max="14336" width="8.88671875" style="448"/>
    <col min="14337" max="14337" width="7.44140625" style="448" customWidth="1"/>
    <col min="14338" max="14338" width="8.88671875" style="448"/>
    <col min="14339" max="14339" width="11.21875" style="448" customWidth="1"/>
    <col min="14340" max="14343" width="12.77734375" style="448" customWidth="1"/>
    <col min="14344" max="14344" width="5.6640625" style="448" customWidth="1"/>
    <col min="14345" max="14345" width="6.77734375" style="448" customWidth="1"/>
    <col min="14346" max="14346" width="10.88671875" style="448" bestFit="1" customWidth="1"/>
    <col min="14347" max="14350" width="12.77734375" style="448" customWidth="1"/>
    <col min="14351" max="14351" width="12.21875" style="448" customWidth="1"/>
    <col min="14352" max="14353" width="8.88671875" style="448"/>
    <col min="14354" max="14354" width="12.77734375" style="448" bestFit="1" customWidth="1"/>
    <col min="14355" max="14592" width="8.88671875" style="448"/>
    <col min="14593" max="14593" width="7.44140625" style="448" customWidth="1"/>
    <col min="14594" max="14594" width="8.88671875" style="448"/>
    <col min="14595" max="14595" width="11.21875" style="448" customWidth="1"/>
    <col min="14596" max="14599" width="12.77734375" style="448" customWidth="1"/>
    <col min="14600" max="14600" width="5.6640625" style="448" customWidth="1"/>
    <col min="14601" max="14601" width="6.77734375" style="448" customWidth="1"/>
    <col min="14602" max="14602" width="10.88671875" style="448" bestFit="1" customWidth="1"/>
    <col min="14603" max="14606" width="12.77734375" style="448" customWidth="1"/>
    <col min="14607" max="14607" width="12.21875" style="448" customWidth="1"/>
    <col min="14608" max="14609" width="8.88671875" style="448"/>
    <col min="14610" max="14610" width="12.77734375" style="448" bestFit="1" customWidth="1"/>
    <col min="14611" max="14848" width="8.88671875" style="448"/>
    <col min="14849" max="14849" width="7.44140625" style="448" customWidth="1"/>
    <col min="14850" max="14850" width="8.88671875" style="448"/>
    <col min="14851" max="14851" width="11.21875" style="448" customWidth="1"/>
    <col min="14852" max="14855" width="12.77734375" style="448" customWidth="1"/>
    <col min="14856" max="14856" width="5.6640625" style="448" customWidth="1"/>
    <col min="14857" max="14857" width="6.77734375" style="448" customWidth="1"/>
    <col min="14858" max="14858" width="10.88671875" style="448" bestFit="1" customWidth="1"/>
    <col min="14859" max="14862" width="12.77734375" style="448" customWidth="1"/>
    <col min="14863" max="14863" width="12.21875" style="448" customWidth="1"/>
    <col min="14864" max="14865" width="8.88671875" style="448"/>
    <col min="14866" max="14866" width="12.77734375" style="448" bestFit="1" customWidth="1"/>
    <col min="14867" max="15104" width="8.88671875" style="448"/>
    <col min="15105" max="15105" width="7.44140625" style="448" customWidth="1"/>
    <col min="15106" max="15106" width="8.88671875" style="448"/>
    <col min="15107" max="15107" width="11.21875" style="448" customWidth="1"/>
    <col min="15108" max="15111" width="12.77734375" style="448" customWidth="1"/>
    <col min="15112" max="15112" width="5.6640625" style="448" customWidth="1"/>
    <col min="15113" max="15113" width="6.77734375" style="448" customWidth="1"/>
    <col min="15114" max="15114" width="10.88671875" style="448" bestFit="1" customWidth="1"/>
    <col min="15115" max="15118" width="12.77734375" style="448" customWidth="1"/>
    <col min="15119" max="15119" width="12.21875" style="448" customWidth="1"/>
    <col min="15120" max="15121" width="8.88671875" style="448"/>
    <col min="15122" max="15122" width="12.77734375" style="448" bestFit="1" customWidth="1"/>
    <col min="15123" max="15360" width="8.88671875" style="448"/>
    <col min="15361" max="15361" width="7.44140625" style="448" customWidth="1"/>
    <col min="15362" max="15362" width="8.88671875" style="448"/>
    <col min="15363" max="15363" width="11.21875" style="448" customWidth="1"/>
    <col min="15364" max="15367" width="12.77734375" style="448" customWidth="1"/>
    <col min="15368" max="15368" width="5.6640625" style="448" customWidth="1"/>
    <col min="15369" max="15369" width="6.77734375" style="448" customWidth="1"/>
    <col min="15370" max="15370" width="10.88671875" style="448" bestFit="1" customWidth="1"/>
    <col min="15371" max="15374" width="12.77734375" style="448" customWidth="1"/>
    <col min="15375" max="15375" width="12.21875" style="448" customWidth="1"/>
    <col min="15376" max="15377" width="8.88671875" style="448"/>
    <col min="15378" max="15378" width="12.77734375" style="448" bestFit="1" customWidth="1"/>
    <col min="15379" max="15616" width="8.88671875" style="448"/>
    <col min="15617" max="15617" width="7.44140625" style="448" customWidth="1"/>
    <col min="15618" max="15618" width="8.88671875" style="448"/>
    <col min="15619" max="15619" width="11.21875" style="448" customWidth="1"/>
    <col min="15620" max="15623" width="12.77734375" style="448" customWidth="1"/>
    <col min="15624" max="15624" width="5.6640625" style="448" customWidth="1"/>
    <col min="15625" max="15625" width="6.77734375" style="448" customWidth="1"/>
    <col min="15626" max="15626" width="10.88671875" style="448" bestFit="1" customWidth="1"/>
    <col min="15627" max="15630" width="12.77734375" style="448" customWidth="1"/>
    <col min="15631" max="15631" width="12.21875" style="448" customWidth="1"/>
    <col min="15632" max="15633" width="8.88671875" style="448"/>
    <col min="15634" max="15634" width="12.77734375" style="448" bestFit="1" customWidth="1"/>
    <col min="15635" max="15872" width="8.88671875" style="448"/>
    <col min="15873" max="15873" width="7.44140625" style="448" customWidth="1"/>
    <col min="15874" max="15874" width="8.88671875" style="448"/>
    <col min="15875" max="15875" width="11.21875" style="448" customWidth="1"/>
    <col min="15876" max="15879" width="12.77734375" style="448" customWidth="1"/>
    <col min="15880" max="15880" width="5.6640625" style="448" customWidth="1"/>
    <col min="15881" max="15881" width="6.77734375" style="448" customWidth="1"/>
    <col min="15882" max="15882" width="10.88671875" style="448" bestFit="1" customWidth="1"/>
    <col min="15883" max="15886" width="12.77734375" style="448" customWidth="1"/>
    <col min="15887" max="15887" width="12.21875" style="448" customWidth="1"/>
    <col min="15888" max="15889" width="8.88671875" style="448"/>
    <col min="15890" max="15890" width="12.77734375" style="448" bestFit="1" customWidth="1"/>
    <col min="15891" max="16128" width="8.88671875" style="448"/>
    <col min="16129" max="16129" width="7.44140625" style="448" customWidth="1"/>
    <col min="16130" max="16130" width="8.88671875" style="448"/>
    <col min="16131" max="16131" width="11.21875" style="448" customWidth="1"/>
    <col min="16132" max="16135" width="12.77734375" style="448" customWidth="1"/>
    <col min="16136" max="16136" width="5.6640625" style="448" customWidth="1"/>
    <col min="16137" max="16137" width="6.77734375" style="448" customWidth="1"/>
    <col min="16138" max="16138" width="10.88671875" style="448" bestFit="1" customWidth="1"/>
    <col min="16139" max="16142" width="12.77734375" style="448" customWidth="1"/>
    <col min="16143" max="16143" width="12.21875" style="448" customWidth="1"/>
    <col min="16144" max="16145" width="8.88671875" style="448"/>
    <col min="16146" max="16146" width="12.77734375" style="448" bestFit="1" customWidth="1"/>
    <col min="16147" max="16384" width="8.88671875" style="448"/>
  </cols>
  <sheetData>
    <row r="2" spans="1:18" ht="33.75" customHeight="1">
      <c r="A2" s="1446" t="s">
        <v>647</v>
      </c>
      <c r="B2" s="1446"/>
      <c r="C2" s="1446"/>
      <c r="D2" s="1446"/>
      <c r="E2" s="1446"/>
      <c r="F2" s="1446"/>
      <c r="G2" s="1446"/>
      <c r="H2" s="1446"/>
      <c r="I2" s="1446"/>
      <c r="J2" s="1446"/>
      <c r="K2" s="1446"/>
      <c r="L2" s="1446"/>
      <c r="M2" s="1446"/>
      <c r="N2" s="1446"/>
    </row>
    <row r="3" spans="1:18" ht="14.1" customHeight="1">
      <c r="A3" s="449"/>
      <c r="B3" s="449"/>
      <c r="C3" s="449"/>
      <c r="D3" s="450"/>
      <c r="E3" s="450"/>
      <c r="F3" s="450"/>
      <c r="G3" s="450"/>
      <c r="H3" s="449"/>
      <c r="I3" s="449"/>
      <c r="J3" s="449"/>
      <c r="K3" s="450"/>
      <c r="L3" s="450"/>
      <c r="M3" s="450"/>
      <c r="N3" s="450"/>
    </row>
    <row r="4" spans="1:18" ht="16.5" customHeight="1">
      <c r="A4" s="1447" t="s">
        <v>221</v>
      </c>
      <c r="B4" s="1447"/>
      <c r="C4" s="1447"/>
      <c r="D4" s="1447"/>
      <c r="E4" s="1447"/>
      <c r="F4" s="1447"/>
      <c r="G4" s="1447"/>
      <c r="H4" s="1447"/>
      <c r="I4" s="1447"/>
      <c r="J4" s="1447"/>
      <c r="K4" s="1447"/>
      <c r="L4" s="1447"/>
      <c r="M4" s="1447"/>
      <c r="N4" s="1447"/>
    </row>
    <row r="5" spans="1:18" ht="14.1" customHeight="1" thickBot="1"/>
    <row r="6" spans="1:18" ht="18" customHeight="1">
      <c r="A6" s="1448" t="s">
        <v>222</v>
      </c>
      <c r="B6" s="1449"/>
      <c r="C6" s="1449"/>
      <c r="D6" s="1449"/>
      <c r="E6" s="1449"/>
      <c r="F6" s="1449"/>
      <c r="G6" s="1450"/>
      <c r="H6" s="1451" t="s">
        <v>223</v>
      </c>
      <c r="I6" s="1452"/>
      <c r="J6" s="1452"/>
      <c r="K6" s="1453"/>
      <c r="L6" s="1453"/>
      <c r="M6" s="1453"/>
      <c r="N6" s="1454"/>
    </row>
    <row r="7" spans="1:18" ht="18" customHeight="1">
      <c r="A7" s="1455" t="s">
        <v>224</v>
      </c>
      <c r="B7" s="1457" t="s">
        <v>225</v>
      </c>
      <c r="C7" s="1457" t="s">
        <v>226</v>
      </c>
      <c r="D7" s="1459" t="s">
        <v>227</v>
      </c>
      <c r="E7" s="1461" t="s">
        <v>228</v>
      </c>
      <c r="F7" s="1459" t="s">
        <v>229</v>
      </c>
      <c r="G7" s="1467" t="s">
        <v>230</v>
      </c>
      <c r="H7" s="1469" t="s">
        <v>231</v>
      </c>
      <c r="I7" s="1457" t="s">
        <v>225</v>
      </c>
      <c r="J7" s="1457" t="s">
        <v>226</v>
      </c>
      <c r="K7" s="1461" t="s">
        <v>227</v>
      </c>
      <c r="L7" s="1461" t="s">
        <v>228</v>
      </c>
      <c r="M7" s="1465" t="s">
        <v>229</v>
      </c>
      <c r="N7" s="1463" t="s">
        <v>230</v>
      </c>
    </row>
    <row r="8" spans="1:18" ht="18" customHeight="1" thickBot="1">
      <c r="A8" s="1456"/>
      <c r="B8" s="1458"/>
      <c r="C8" s="1458"/>
      <c r="D8" s="1460"/>
      <c r="E8" s="1462"/>
      <c r="F8" s="1460"/>
      <c r="G8" s="1468"/>
      <c r="H8" s="1470"/>
      <c r="I8" s="1458"/>
      <c r="J8" s="1458"/>
      <c r="K8" s="1462"/>
      <c r="L8" s="1462"/>
      <c r="M8" s="1466"/>
      <c r="N8" s="1464"/>
    </row>
    <row r="9" spans="1:18" ht="21.95" customHeight="1" thickTop="1">
      <c r="A9" s="1471" t="s">
        <v>232</v>
      </c>
      <c r="B9" s="1472"/>
      <c r="C9" s="1473"/>
      <c r="D9" s="452">
        <f>D10+D14+D23+D27+D30+D35</f>
        <v>2263747735</v>
      </c>
      <c r="E9" s="452">
        <f>E10+E14+E23+E27+E30+E36</f>
        <v>2221710128</v>
      </c>
      <c r="F9" s="452">
        <f>F10+F14+F23+F27+F30+F35</f>
        <v>2107383054</v>
      </c>
      <c r="G9" s="951">
        <f>G10+G14+G23+G27+G30+G35</f>
        <v>-114327074</v>
      </c>
      <c r="H9" s="1473" t="s">
        <v>232</v>
      </c>
      <c r="I9" s="1474"/>
      <c r="J9" s="1474"/>
      <c r="K9" s="452">
        <f>K10+K26+K31+K40+K43</f>
        <v>2263747735</v>
      </c>
      <c r="L9" s="452">
        <f>L10+L26+L31+L38+L41</f>
        <v>2221710128</v>
      </c>
      <c r="M9" s="452">
        <f>M10+M26+M31+M38+M41</f>
        <v>2107383054</v>
      </c>
      <c r="N9" s="452">
        <f>N10+N26+N31+N38+N41</f>
        <v>-114327074</v>
      </c>
      <c r="P9" s="502"/>
      <c r="R9" s="502"/>
    </row>
    <row r="10" spans="1:18" ht="21.95" customHeight="1">
      <c r="A10" s="1441" t="s">
        <v>233</v>
      </c>
      <c r="B10" s="1442"/>
      <c r="C10" s="1443"/>
      <c r="D10" s="453">
        <f>D11</f>
        <v>10500000</v>
      </c>
      <c r="E10" s="454">
        <f>E11</f>
        <v>10000000</v>
      </c>
      <c r="F10" s="454">
        <f>F11</f>
        <v>20000000</v>
      </c>
      <c r="G10" s="952">
        <f>G11</f>
        <v>10000000</v>
      </c>
      <c r="H10" s="1475" t="s">
        <v>184</v>
      </c>
      <c r="I10" s="1476"/>
      <c r="J10" s="1476"/>
      <c r="K10" s="455">
        <f>K11+K16+K23</f>
        <v>946030160</v>
      </c>
      <c r="L10" s="455">
        <f>L11+L16+L23</f>
        <v>982653368</v>
      </c>
      <c r="M10" s="455">
        <f>M11+M16+M23</f>
        <v>965059095</v>
      </c>
      <c r="N10" s="957">
        <f>N11+N16+N23</f>
        <v>-17594273</v>
      </c>
    </row>
    <row r="11" spans="1:18" ht="21.95" customHeight="1">
      <c r="A11" s="456"/>
      <c r="B11" s="1444" t="s">
        <v>233</v>
      </c>
      <c r="C11" s="1445"/>
      <c r="D11" s="457">
        <f>D12+D13</f>
        <v>10500000</v>
      </c>
      <c r="E11" s="458">
        <f>E12+E13</f>
        <v>10000000</v>
      </c>
      <c r="F11" s="458">
        <f>F12+F13</f>
        <v>20000000</v>
      </c>
      <c r="G11" s="953">
        <f>G12+G13</f>
        <v>10000000</v>
      </c>
      <c r="H11" s="459"/>
      <c r="I11" s="1478" t="s">
        <v>44</v>
      </c>
      <c r="J11" s="1478"/>
      <c r="K11" s="460">
        <f>SUM(K12:K15)</f>
        <v>823750330</v>
      </c>
      <c r="L11" s="460">
        <f>SUM(L12:L15)</f>
        <v>862387894</v>
      </c>
      <c r="M11" s="460">
        <f>SUM(M12:M15)</f>
        <v>845827729</v>
      </c>
      <c r="N11" s="958">
        <f>SUM(N12:N15)</f>
        <v>-16560165</v>
      </c>
      <c r="O11" s="448" t="s">
        <v>184</v>
      </c>
      <c r="P11" s="448" t="s">
        <v>44</v>
      </c>
    </row>
    <row r="12" spans="1:18" ht="21.95" customHeight="1">
      <c r="A12" s="456"/>
      <c r="B12" s="476"/>
      <c r="C12" s="464" t="s">
        <v>410</v>
      </c>
      <c r="D12" s="446">
        <f>세입추경예산서!D$8</f>
        <v>10000000</v>
      </c>
      <c r="E12" s="461">
        <f>세입추경예산서!E$8</f>
        <v>10000000</v>
      </c>
      <c r="F12" s="461">
        <f>세입추경예산서!F$8</f>
        <v>20000000</v>
      </c>
      <c r="G12" s="954">
        <f>F12-E12</f>
        <v>10000000</v>
      </c>
      <c r="H12" s="459"/>
      <c r="I12" s="463"/>
      <c r="J12" s="464" t="s">
        <v>3</v>
      </c>
      <c r="K12" s="465">
        <f>세출추경예산서!D8</f>
        <v>547659000</v>
      </c>
      <c r="L12" s="465">
        <f>세출추경예산서!E8</f>
        <v>570354968</v>
      </c>
      <c r="M12" s="465">
        <f>세출추경예산서!F8</f>
        <v>562150970</v>
      </c>
      <c r="N12" s="959">
        <f>M12-L12</f>
        <v>-8203998</v>
      </c>
      <c r="O12" s="448" t="s">
        <v>184</v>
      </c>
      <c r="P12" s="448" t="s">
        <v>44</v>
      </c>
    </row>
    <row r="13" spans="1:18" ht="21.95" customHeight="1">
      <c r="A13" s="466"/>
      <c r="B13" s="463"/>
      <c r="C13" s="464" t="s">
        <v>411</v>
      </c>
      <c r="D13" s="446">
        <f>세입추경예산서!D$9</f>
        <v>500000</v>
      </c>
      <c r="E13" s="461">
        <f>세입추경예산서!E$9</f>
        <v>0</v>
      </c>
      <c r="F13" s="461">
        <f>세입추경예산서!F$9</f>
        <v>0</v>
      </c>
      <c r="G13" s="954">
        <f>F13-E13</f>
        <v>0</v>
      </c>
      <c r="H13" s="459"/>
      <c r="I13" s="463"/>
      <c r="J13" s="464" t="s">
        <v>160</v>
      </c>
      <c r="K13" s="465">
        <f>세출추경예산서!D39</f>
        <v>148538780</v>
      </c>
      <c r="L13" s="465">
        <f>세출추경예산서!E40+세출추경예산서!E59+세출추경예산서!E87+세출추경예산서!E107+세출추경예산서!E135+세출추경예산서!E138+세출추경예산서!E132</f>
        <v>155679286</v>
      </c>
      <c r="M13" s="465">
        <f>세출추경예산서!F40+세출추경예산서!F59+세출추경예산서!F87+세출추경예산서!F107+세출추경예산서!F135+세출추경예산서!F138+세출추경예산서!F132</f>
        <v>152254050</v>
      </c>
      <c r="N13" s="959">
        <f t="shared" ref="N13:N15" si="0">M13-L13</f>
        <v>-3425236</v>
      </c>
      <c r="O13" s="448" t="s">
        <v>184</v>
      </c>
      <c r="P13" s="448" t="s">
        <v>44</v>
      </c>
    </row>
    <row r="14" spans="1:18" ht="21.95" customHeight="1">
      <c r="A14" s="1441" t="s">
        <v>33</v>
      </c>
      <c r="B14" s="1442"/>
      <c r="C14" s="1443"/>
      <c r="D14" s="453">
        <f>D15</f>
        <v>2063479930</v>
      </c>
      <c r="E14" s="467">
        <f>E15</f>
        <v>2019911174</v>
      </c>
      <c r="F14" s="467">
        <f>F15</f>
        <v>1894289930</v>
      </c>
      <c r="G14" s="952">
        <f>G15</f>
        <v>-125621244</v>
      </c>
      <c r="H14" s="459"/>
      <c r="I14" s="463"/>
      <c r="J14" s="464" t="s">
        <v>108</v>
      </c>
      <c r="K14" s="465">
        <f>세출추경예산서!D142</f>
        <v>57535320</v>
      </c>
      <c r="L14" s="465">
        <f>세출추경예산서!E142</f>
        <v>60020580</v>
      </c>
      <c r="M14" s="465">
        <f>세출추경예산서!F142</f>
        <v>62951719</v>
      </c>
      <c r="N14" s="959">
        <f t="shared" si="0"/>
        <v>2931139</v>
      </c>
      <c r="O14" s="448" t="s">
        <v>184</v>
      </c>
      <c r="P14" s="448" t="s">
        <v>44</v>
      </c>
    </row>
    <row r="15" spans="1:18" ht="21.95" customHeight="1">
      <c r="A15" s="468"/>
      <c r="B15" s="1444" t="s">
        <v>33</v>
      </c>
      <c r="C15" s="1445"/>
      <c r="D15" s="469">
        <f>SUM(D16:D22)</f>
        <v>2063479930</v>
      </c>
      <c r="E15" s="469">
        <f t="shared" ref="E15:G15" si="1">SUM(E16:E22)</f>
        <v>2019911174</v>
      </c>
      <c r="F15" s="469">
        <f t="shared" si="1"/>
        <v>1894289930</v>
      </c>
      <c r="G15" s="955">
        <f t="shared" si="1"/>
        <v>-125621244</v>
      </c>
      <c r="H15" s="191"/>
      <c r="I15" s="463"/>
      <c r="J15" s="464" t="s">
        <v>25</v>
      </c>
      <c r="K15" s="465">
        <f>세출추경예산서!D162</f>
        <v>70017230</v>
      </c>
      <c r="L15" s="465">
        <f>세출추경예산서!E162</f>
        <v>76333060</v>
      </c>
      <c r="M15" s="465">
        <f>세출추경예산서!F162</f>
        <v>68470990</v>
      </c>
      <c r="N15" s="959">
        <f t="shared" si="0"/>
        <v>-7862070</v>
      </c>
      <c r="O15" s="448" t="s">
        <v>184</v>
      </c>
      <c r="P15" s="448" t="s">
        <v>44</v>
      </c>
    </row>
    <row r="16" spans="1:18" ht="21.95" customHeight="1">
      <c r="A16" s="468"/>
      <c r="B16" s="470"/>
      <c r="C16" s="464" t="s">
        <v>44</v>
      </c>
      <c r="D16" s="447">
        <f>세입추경예산서!D12</f>
        <v>692547780</v>
      </c>
      <c r="E16" s="447">
        <f>세입추경예산서!E12</f>
        <v>722384254</v>
      </c>
      <c r="F16" s="447">
        <f>세입추경예산서!F$12+세입추경예산서!F$43+세입추경예산서!F$61+세입추경예산서!F$88+세입추경예산서!F$107+세입추경예산서!F$131+세입추경예산서!F$133</f>
        <v>710745020</v>
      </c>
      <c r="G16" s="954">
        <f>F16-E16</f>
        <v>-11639234</v>
      </c>
      <c r="H16" s="191"/>
      <c r="I16" s="1478" t="s">
        <v>188</v>
      </c>
      <c r="J16" s="1478"/>
      <c r="K16" s="460">
        <f>SUM(K17:K22)</f>
        <v>117429830</v>
      </c>
      <c r="L16" s="460">
        <f>SUM(L17:L22)</f>
        <v>114625474</v>
      </c>
      <c r="M16" s="460">
        <f>SUM(M17:M22)</f>
        <v>114141166</v>
      </c>
      <c r="N16" s="958">
        <f>SUM(N17:N22)</f>
        <v>-484308</v>
      </c>
      <c r="O16" s="448" t="s">
        <v>184</v>
      </c>
      <c r="P16" s="448" t="s">
        <v>188</v>
      </c>
    </row>
    <row r="17" spans="1:16" ht="21.95" customHeight="1">
      <c r="A17" s="468"/>
      <c r="B17" s="470"/>
      <c r="C17" s="464" t="s">
        <v>108</v>
      </c>
      <c r="D17" s="447">
        <f>세입추경예산서!D$136</f>
        <v>57231150</v>
      </c>
      <c r="E17" s="447">
        <f>세입추경예산서!E$136</f>
        <v>59716410</v>
      </c>
      <c r="F17" s="447">
        <f>세입추경예산서!F$136</f>
        <v>61239500</v>
      </c>
      <c r="G17" s="954">
        <f t="shared" ref="G17:G22" si="2">F17-E17</f>
        <v>1523090</v>
      </c>
      <c r="H17" s="192"/>
      <c r="I17" s="472"/>
      <c r="J17" s="464" t="s">
        <v>189</v>
      </c>
      <c r="K17" s="465">
        <f>세출추경예산서!D169</f>
        <v>31150900</v>
      </c>
      <c r="L17" s="465">
        <f>세출추경예산서!E169</f>
        <v>25028705</v>
      </c>
      <c r="M17" s="465">
        <f>세출추경예산서!F169</f>
        <v>30493275</v>
      </c>
      <c r="N17" s="959">
        <f t="shared" ref="N17:N22" si="3">M17-L17</f>
        <v>5464570</v>
      </c>
      <c r="O17" s="448" t="s">
        <v>184</v>
      </c>
      <c r="P17" s="448" t="s">
        <v>188</v>
      </c>
    </row>
    <row r="18" spans="1:16" ht="21.95" customHeight="1">
      <c r="A18" s="468"/>
      <c r="B18" s="470"/>
      <c r="C18" s="464" t="s">
        <v>25</v>
      </c>
      <c r="D18" s="447">
        <f>세입추경예산서!D$153</f>
        <v>70017230</v>
      </c>
      <c r="E18" s="447">
        <f>세입추경예산서!E$153</f>
        <v>76333060</v>
      </c>
      <c r="F18" s="447">
        <f>세입추경예산서!F$153</f>
        <v>68470990</v>
      </c>
      <c r="G18" s="954">
        <f t="shared" si="2"/>
        <v>-7862070</v>
      </c>
      <c r="H18" s="191"/>
      <c r="I18" s="463"/>
      <c r="J18" s="464" t="s">
        <v>190</v>
      </c>
      <c r="K18" s="465">
        <f>세출추경예산서!D197</f>
        <v>65009400</v>
      </c>
      <c r="L18" s="473">
        <f>세출추경예산서!E197</f>
        <v>69728941</v>
      </c>
      <c r="M18" s="473">
        <f>세출추경예산서!F197</f>
        <v>64714141</v>
      </c>
      <c r="N18" s="959">
        <f t="shared" si="3"/>
        <v>-5014800</v>
      </c>
      <c r="O18" s="448" t="s">
        <v>184</v>
      </c>
      <c r="P18" s="448" t="s">
        <v>188</v>
      </c>
    </row>
    <row r="19" spans="1:16" ht="21.95" customHeight="1">
      <c r="A19" s="468"/>
      <c r="B19" s="474"/>
      <c r="C19" s="464" t="s">
        <v>188</v>
      </c>
      <c r="D19" s="471">
        <f>세입추경예산서!D$159</f>
        <v>79344000</v>
      </c>
      <c r="E19" s="471">
        <f>세입추경예산서!E$159</f>
        <v>81041250</v>
      </c>
      <c r="F19" s="471">
        <f>세입추경예산서!F$159</f>
        <v>75272140</v>
      </c>
      <c r="G19" s="954">
        <f t="shared" si="2"/>
        <v>-5769110</v>
      </c>
      <c r="H19" s="191"/>
      <c r="I19" s="463"/>
      <c r="J19" s="464" t="s">
        <v>191</v>
      </c>
      <c r="K19" s="473">
        <f>세출추경예산서!D219</f>
        <v>9716700</v>
      </c>
      <c r="L19" s="473">
        <f>세출추경예산서!E219</f>
        <v>8491340</v>
      </c>
      <c r="M19" s="473">
        <f>세출추경예산서!F219</f>
        <v>7454150</v>
      </c>
      <c r="N19" s="959">
        <f t="shared" si="3"/>
        <v>-1037190</v>
      </c>
      <c r="O19" s="448" t="s">
        <v>184</v>
      </c>
      <c r="P19" s="448" t="s">
        <v>188</v>
      </c>
    </row>
    <row r="20" spans="1:16" ht="21.95" customHeight="1">
      <c r="A20" s="475"/>
      <c r="B20" s="476"/>
      <c r="C20" s="464" t="s">
        <v>113</v>
      </c>
      <c r="D20" s="447">
        <f>세입추경예산서!D$164</f>
        <v>370040000</v>
      </c>
      <c r="E20" s="447">
        <f>세입추경예산서!E$164</f>
        <v>304236000</v>
      </c>
      <c r="F20" s="447">
        <f>세입추경예산서!F$164</f>
        <v>237320800</v>
      </c>
      <c r="G20" s="954">
        <f t="shared" si="2"/>
        <v>-66915200</v>
      </c>
      <c r="H20" s="191"/>
      <c r="I20" s="463"/>
      <c r="J20" s="464" t="s">
        <v>194</v>
      </c>
      <c r="K20" s="473">
        <f>세출추경예산서!D240</f>
        <v>8111620</v>
      </c>
      <c r="L20" s="473">
        <f>세출추경예산서!E240</f>
        <v>7850000</v>
      </c>
      <c r="M20" s="473">
        <f>세출추경예산서!F240</f>
        <v>8029600</v>
      </c>
      <c r="N20" s="959">
        <f t="shared" si="3"/>
        <v>179600</v>
      </c>
      <c r="O20" s="448" t="s">
        <v>184</v>
      </c>
      <c r="P20" s="448" t="s">
        <v>188</v>
      </c>
    </row>
    <row r="21" spans="1:16" ht="21.95" customHeight="1">
      <c r="A21" s="475"/>
      <c r="B21" s="476"/>
      <c r="C21" s="464" t="s">
        <v>234</v>
      </c>
      <c r="D21" s="447">
        <f>세입추경예산서!D$175</f>
        <v>33400000</v>
      </c>
      <c r="E21" s="447">
        <f>세입추경예산서!E$175</f>
        <v>33400000</v>
      </c>
      <c r="F21" s="447">
        <f>세입추경예산서!F$175</f>
        <v>33400000</v>
      </c>
      <c r="G21" s="954">
        <f t="shared" si="2"/>
        <v>0</v>
      </c>
      <c r="H21" s="191"/>
      <c r="I21" s="463"/>
      <c r="J21" s="464" t="s">
        <v>195</v>
      </c>
      <c r="K21" s="473">
        <f>세출추경예산서!D248</f>
        <v>541210</v>
      </c>
      <c r="L21" s="473">
        <f>세출추경예산서!E248</f>
        <v>626488</v>
      </c>
      <c r="M21" s="473">
        <f>세출추경예산서!F248</f>
        <v>550000</v>
      </c>
      <c r="N21" s="959">
        <f t="shared" si="3"/>
        <v>-76488</v>
      </c>
    </row>
    <row r="22" spans="1:16" ht="21.95" customHeight="1">
      <c r="A22" s="475"/>
      <c r="B22" s="476"/>
      <c r="C22" s="464" t="s">
        <v>116</v>
      </c>
      <c r="D22" s="447">
        <f>세입추경예산서!D$183</f>
        <v>760899770</v>
      </c>
      <c r="E22" s="447">
        <f>세입추경예산서!E$183</f>
        <v>742800200</v>
      </c>
      <c r="F22" s="447">
        <f>세입추경예산서!F$183</f>
        <v>707841480</v>
      </c>
      <c r="G22" s="954">
        <f t="shared" si="2"/>
        <v>-34958720</v>
      </c>
      <c r="H22" s="191"/>
      <c r="I22" s="463"/>
      <c r="J22" s="464" t="s">
        <v>479</v>
      </c>
      <c r="K22" s="473">
        <f>세출추경예산서!D252</f>
        <v>2900000</v>
      </c>
      <c r="L22" s="473">
        <f>세출추경예산서!E252</f>
        <v>2900000</v>
      </c>
      <c r="M22" s="473">
        <f>세출추경예산서!F252</f>
        <v>2900000</v>
      </c>
      <c r="N22" s="959">
        <f t="shared" si="3"/>
        <v>0</v>
      </c>
    </row>
    <row r="23" spans="1:16" ht="21.95" customHeight="1">
      <c r="A23" s="1441" t="s">
        <v>207</v>
      </c>
      <c r="B23" s="1442"/>
      <c r="C23" s="1443"/>
      <c r="D23" s="477">
        <f>D24</f>
        <v>17280000</v>
      </c>
      <c r="E23" s="454">
        <f>E24</f>
        <v>18800000</v>
      </c>
      <c r="F23" s="454">
        <f>F24</f>
        <v>18800000</v>
      </c>
      <c r="G23" s="952">
        <f>G24</f>
        <v>0</v>
      </c>
      <c r="H23" s="191"/>
      <c r="I23" s="1478" t="s">
        <v>185</v>
      </c>
      <c r="J23" s="1478"/>
      <c r="K23" s="460">
        <f>SUM(K24:K25)</f>
        <v>4850000</v>
      </c>
      <c r="L23" s="460">
        <f t="shared" ref="L23:N23" si="4">SUM(L24:L25)</f>
        <v>5640000</v>
      </c>
      <c r="M23" s="460">
        <f t="shared" si="4"/>
        <v>5090200</v>
      </c>
      <c r="N23" s="958">
        <f t="shared" si="4"/>
        <v>-549800</v>
      </c>
    </row>
    <row r="24" spans="1:16" ht="21.95" customHeight="1">
      <c r="A24" s="475"/>
      <c r="B24" s="536" t="s">
        <v>207</v>
      </c>
      <c r="C24" s="537"/>
      <c r="D24" s="478">
        <f>D25+D26</f>
        <v>17280000</v>
      </c>
      <c r="E24" s="478">
        <f>E25+E26</f>
        <v>18800000</v>
      </c>
      <c r="F24" s="478">
        <f>F25+F26</f>
        <v>18800000</v>
      </c>
      <c r="G24" s="956">
        <f>G25+G26</f>
        <v>0</v>
      </c>
      <c r="H24" s="191"/>
      <c r="I24" s="476"/>
      <c r="J24" s="464" t="s">
        <v>186</v>
      </c>
      <c r="K24" s="473">
        <f>세출추경예산서!D256</f>
        <v>3600000</v>
      </c>
      <c r="L24" s="473">
        <f>세출추경예산서!E256</f>
        <v>3600000</v>
      </c>
      <c r="M24" s="473">
        <f>세출추경예산서!F256</f>
        <v>3700200</v>
      </c>
      <c r="N24" s="959">
        <f t="shared" ref="N24:N25" si="5">M24-L24</f>
        <v>100200</v>
      </c>
    </row>
    <row r="25" spans="1:16" ht="21.95" customHeight="1">
      <c r="A25" s="468"/>
      <c r="B25" s="470"/>
      <c r="C25" s="464" t="s">
        <v>208</v>
      </c>
      <c r="D25" s="447">
        <f>세입추경예산서!D$213+세입추경예산서!D$214</f>
        <v>9780000</v>
      </c>
      <c r="E25" s="471">
        <f>세입추경예산서!N214+세입추경예산서!N213</f>
        <v>11300000</v>
      </c>
      <c r="F25" s="471">
        <f>세입추경예산서!$I212</f>
        <v>11300000</v>
      </c>
      <c r="G25" s="954">
        <f t="shared" ref="G25:G26" si="6">F25-E25</f>
        <v>0</v>
      </c>
      <c r="H25" s="191"/>
      <c r="I25" s="463"/>
      <c r="J25" s="464" t="s">
        <v>187</v>
      </c>
      <c r="K25" s="473">
        <f>세출추경예산서!D259</f>
        <v>1250000</v>
      </c>
      <c r="L25" s="473">
        <f>세출추경예산서!E259</f>
        <v>2040000</v>
      </c>
      <c r="M25" s="473">
        <f>세출추경예산서!F259</f>
        <v>1390000</v>
      </c>
      <c r="N25" s="959">
        <f t="shared" si="5"/>
        <v>-650000</v>
      </c>
    </row>
    <row r="26" spans="1:16" ht="21.95" customHeight="1">
      <c r="A26" s="468"/>
      <c r="B26" s="470"/>
      <c r="C26" s="464" t="s">
        <v>209</v>
      </c>
      <c r="D26" s="447">
        <f>세입추경예산서!D$215</f>
        <v>7500000</v>
      </c>
      <c r="E26" s="471">
        <f>세입추경예산서!E$215</f>
        <v>7500000</v>
      </c>
      <c r="F26" s="471">
        <f>세입추경예산서!F$215</f>
        <v>7500000</v>
      </c>
      <c r="G26" s="954">
        <f t="shared" si="6"/>
        <v>0</v>
      </c>
      <c r="H26" s="1479" t="s">
        <v>196</v>
      </c>
      <c r="I26" s="1480"/>
      <c r="J26" s="1480"/>
      <c r="K26" s="455">
        <f>K27</f>
        <v>33400000</v>
      </c>
      <c r="L26" s="455">
        <f t="shared" ref="L26:M26" si="7">L27</f>
        <v>35152910</v>
      </c>
      <c r="M26" s="455">
        <f t="shared" si="7"/>
        <v>35152910</v>
      </c>
      <c r="N26" s="957">
        <f>N27</f>
        <v>0</v>
      </c>
      <c r="O26" s="448" t="s">
        <v>196</v>
      </c>
      <c r="P26" s="448" t="s">
        <v>197</v>
      </c>
    </row>
    <row r="27" spans="1:16" ht="21.95" customHeight="1">
      <c r="A27" s="1441" t="s">
        <v>235</v>
      </c>
      <c r="B27" s="1442"/>
      <c r="C27" s="1443"/>
      <c r="D27" s="477">
        <f t="shared" ref="D27:G28" si="8">D28</f>
        <v>20000000</v>
      </c>
      <c r="E27" s="454">
        <f>E28</f>
        <v>15000000</v>
      </c>
      <c r="F27" s="454">
        <f t="shared" si="8"/>
        <v>15000000</v>
      </c>
      <c r="G27" s="952">
        <f>G28</f>
        <v>0</v>
      </c>
      <c r="H27" s="191"/>
      <c r="I27" s="1478" t="s">
        <v>197</v>
      </c>
      <c r="J27" s="1478"/>
      <c r="K27" s="460">
        <f>SUM(K28:K30)</f>
        <v>33400000</v>
      </c>
      <c r="L27" s="460">
        <f>SUM(L28:L30)</f>
        <v>35152910</v>
      </c>
      <c r="M27" s="460">
        <f>SUM(M28:M30)</f>
        <v>35152910</v>
      </c>
      <c r="N27" s="955">
        <f>SUM(N28:N30)</f>
        <v>0</v>
      </c>
      <c r="O27" s="448" t="s">
        <v>196</v>
      </c>
      <c r="P27" s="448" t="s">
        <v>197</v>
      </c>
    </row>
    <row r="28" spans="1:16" ht="21.95" customHeight="1">
      <c r="A28" s="481"/>
      <c r="B28" s="536" t="s">
        <v>235</v>
      </c>
      <c r="C28" s="537"/>
      <c r="D28" s="482">
        <f t="shared" si="8"/>
        <v>20000000</v>
      </c>
      <c r="E28" s="482">
        <f t="shared" si="8"/>
        <v>15000000</v>
      </c>
      <c r="F28" s="482">
        <f t="shared" si="8"/>
        <v>15000000</v>
      </c>
      <c r="G28" s="953">
        <f t="shared" si="8"/>
        <v>0</v>
      </c>
      <c r="H28" s="191"/>
      <c r="I28" s="463"/>
      <c r="J28" s="464" t="s">
        <v>197</v>
      </c>
      <c r="K28" s="465">
        <f>세출추경예산서!D265</f>
        <v>30040000</v>
      </c>
      <c r="L28" s="465">
        <f>세출추경예산서!E265</f>
        <v>30040000</v>
      </c>
      <c r="M28" s="465">
        <f>세출추경예산서!F265</f>
        <v>30040000</v>
      </c>
      <c r="N28" s="959">
        <f t="shared" ref="N28:N30" si="9">M28-L28</f>
        <v>0</v>
      </c>
      <c r="O28" s="448" t="s">
        <v>196</v>
      </c>
      <c r="P28" s="448" t="s">
        <v>197</v>
      </c>
    </row>
    <row r="29" spans="1:16" ht="21.95" customHeight="1">
      <c r="A29" s="481"/>
      <c r="B29" s="483"/>
      <c r="C29" s="464" t="s">
        <v>126</v>
      </c>
      <c r="D29" s="447">
        <f>세입추경예산서!D$205</f>
        <v>20000000</v>
      </c>
      <c r="E29" s="471">
        <f>세입추경예산서!E$205</f>
        <v>15000000</v>
      </c>
      <c r="F29" s="471">
        <f>세입추경예산서!F$205</f>
        <v>15000000</v>
      </c>
      <c r="G29" s="954">
        <f t="shared" ref="G29" si="10">F29-E29</f>
        <v>0</v>
      </c>
      <c r="H29" s="191"/>
      <c r="I29" s="463"/>
      <c r="J29" s="464" t="s">
        <v>624</v>
      </c>
      <c r="K29" s="465">
        <v>0</v>
      </c>
      <c r="L29" s="465">
        <f>세출추경예산서!E$273</f>
        <v>0</v>
      </c>
      <c r="M29" s="465">
        <v>0</v>
      </c>
      <c r="N29" s="959">
        <f t="shared" si="9"/>
        <v>0</v>
      </c>
      <c r="O29" s="448" t="s">
        <v>196</v>
      </c>
      <c r="P29" s="448" t="s">
        <v>197</v>
      </c>
    </row>
    <row r="30" spans="1:16" ht="21.95" customHeight="1">
      <c r="A30" s="1441" t="s">
        <v>237</v>
      </c>
      <c r="B30" s="1442"/>
      <c r="C30" s="1443"/>
      <c r="D30" s="477">
        <f>D31</f>
        <v>14400000</v>
      </c>
      <c r="E30" s="484">
        <f>E31</f>
        <v>14700000</v>
      </c>
      <c r="F30" s="484">
        <f>F31</f>
        <v>15994170</v>
      </c>
      <c r="G30" s="952">
        <f>G31</f>
        <v>1294170</v>
      </c>
      <c r="H30" s="479"/>
      <c r="I30" s="480"/>
      <c r="J30" s="464" t="s">
        <v>199</v>
      </c>
      <c r="K30" s="465">
        <f>세출추경예산서!D$275</f>
        <v>3360000</v>
      </c>
      <c r="L30" s="465">
        <f>세출추경예산서!E$275</f>
        <v>5112910</v>
      </c>
      <c r="M30" s="465">
        <f>세출추경예산서!F275</f>
        <v>5112910</v>
      </c>
      <c r="N30" s="959">
        <f t="shared" si="9"/>
        <v>0</v>
      </c>
      <c r="O30" s="448" t="s">
        <v>116</v>
      </c>
      <c r="P30" s="448" t="s">
        <v>116</v>
      </c>
    </row>
    <row r="31" spans="1:16" ht="21.95" customHeight="1">
      <c r="A31" s="485"/>
      <c r="B31" s="536" t="s">
        <v>237</v>
      </c>
      <c r="C31" s="537"/>
      <c r="D31" s="486">
        <f>D32</f>
        <v>14400000</v>
      </c>
      <c r="E31" s="486">
        <f>SUM(E32:E34)</f>
        <v>14700000</v>
      </c>
      <c r="F31" s="486">
        <f>SUM(F32:F34)</f>
        <v>15994170</v>
      </c>
      <c r="G31" s="953">
        <f>SUM(G32:G34)</f>
        <v>1294170</v>
      </c>
      <c r="H31" s="1481" t="s">
        <v>116</v>
      </c>
      <c r="I31" s="1482"/>
      <c r="J31" s="1483"/>
      <c r="K31" s="455">
        <f>K32+K36</f>
        <v>1212229770</v>
      </c>
      <c r="L31" s="455">
        <f>L32+L36</f>
        <v>1134115217</v>
      </c>
      <c r="M31" s="455">
        <f>M32+M36</f>
        <v>1036088246</v>
      </c>
      <c r="N31" s="957">
        <f>N32+N36</f>
        <v>-98026971</v>
      </c>
      <c r="O31" s="448" t="s">
        <v>116</v>
      </c>
      <c r="P31" s="448" t="s">
        <v>116</v>
      </c>
    </row>
    <row r="32" spans="1:16" ht="21.95" customHeight="1">
      <c r="A32" s="485"/>
      <c r="B32" s="472"/>
      <c r="C32" s="464" t="s">
        <v>260</v>
      </c>
      <c r="D32" s="488">
        <f>세입추경예산서!D$220</f>
        <v>14400000</v>
      </c>
      <c r="E32" s="473">
        <f>세입추경예산서!E$219</f>
        <v>14700000</v>
      </c>
      <c r="F32" s="473">
        <f>세입추경예산서!F$220</f>
        <v>14373870</v>
      </c>
      <c r="G32" s="954">
        <f t="shared" ref="G32:G34" si="11">F32-E32</f>
        <v>-326130</v>
      </c>
      <c r="H32" s="479"/>
      <c r="I32" s="536" t="s">
        <v>188</v>
      </c>
      <c r="J32" s="537"/>
      <c r="K32" s="460">
        <f>SUM(K33:K35)</f>
        <v>373310000</v>
      </c>
      <c r="L32" s="460">
        <f>SUM(L33:L35)</f>
        <v>310289476</v>
      </c>
      <c r="M32" s="460">
        <f>SUM(M33:M35)</f>
        <v>240051225</v>
      </c>
      <c r="N32" s="958">
        <f>SUM(N33:N35)</f>
        <v>-70238251</v>
      </c>
      <c r="O32" s="448" t="s">
        <v>116</v>
      </c>
      <c r="P32" s="448" t="s">
        <v>116</v>
      </c>
    </row>
    <row r="33" spans="1:16" ht="21.95" customHeight="1">
      <c r="A33" s="1012"/>
      <c r="B33" s="1013"/>
      <c r="C33" s="464" t="s">
        <v>721</v>
      </c>
      <c r="D33" s="1014">
        <v>0</v>
      </c>
      <c r="E33" s="473">
        <v>0</v>
      </c>
      <c r="F33" s="473">
        <f>세입추경예산서!$F223</f>
        <v>450000</v>
      </c>
      <c r="G33" s="954">
        <f t="shared" si="11"/>
        <v>450000</v>
      </c>
      <c r="H33" s="479"/>
      <c r="I33" s="463"/>
      <c r="J33" s="464" t="s">
        <v>113</v>
      </c>
      <c r="K33" s="465">
        <f>세출추경예산서!D$280</f>
        <v>370040000</v>
      </c>
      <c r="L33" s="465">
        <f>세출추경예산서!E$280</f>
        <v>304236000</v>
      </c>
      <c r="M33" s="465">
        <f>세출추경예산서!F280</f>
        <v>237320800</v>
      </c>
      <c r="N33" s="959">
        <f t="shared" ref="N33:N35" si="12">M33-L33</f>
        <v>-66915200</v>
      </c>
    </row>
    <row r="34" spans="1:16" ht="21.95" customHeight="1">
      <c r="A34" s="1012"/>
      <c r="B34" s="1013"/>
      <c r="C34" s="464" t="s">
        <v>129</v>
      </c>
      <c r="D34" s="1014">
        <v>0</v>
      </c>
      <c r="E34" s="473">
        <v>0</v>
      </c>
      <c r="F34" s="473">
        <f>세입추경예산서!$F224</f>
        <v>1170300</v>
      </c>
      <c r="G34" s="954">
        <f t="shared" si="11"/>
        <v>1170300</v>
      </c>
      <c r="H34" s="479"/>
      <c r="I34" s="480"/>
      <c r="J34" s="464" t="s">
        <v>201</v>
      </c>
      <c r="K34" s="465">
        <f>세출추경예산서!D$283</f>
        <v>1000000</v>
      </c>
      <c r="L34" s="465">
        <f>세출추경예산서!E$283</f>
        <v>1000000</v>
      </c>
      <c r="M34" s="465">
        <f>세출추경예산서!F283</f>
        <v>1000000</v>
      </c>
      <c r="N34" s="959">
        <f t="shared" si="12"/>
        <v>0</v>
      </c>
    </row>
    <row r="35" spans="1:16" ht="21.95" customHeight="1">
      <c r="A35" s="1441" t="s">
        <v>130</v>
      </c>
      <c r="B35" s="1442"/>
      <c r="C35" s="1443"/>
      <c r="D35" s="477">
        <f>D36</f>
        <v>138087805</v>
      </c>
      <c r="E35" s="484">
        <f>E36</f>
        <v>143298954</v>
      </c>
      <c r="F35" s="484">
        <f>F36</f>
        <v>143298954</v>
      </c>
      <c r="G35" s="952">
        <f>G36</f>
        <v>0</v>
      </c>
      <c r="H35" s="479"/>
      <c r="I35" s="480"/>
      <c r="J35" s="464" t="s">
        <v>200</v>
      </c>
      <c r="K35" s="465">
        <f>세출추경예산서!D$287</f>
        <v>2270000</v>
      </c>
      <c r="L35" s="465">
        <f>세출추경예산서!E$287</f>
        <v>5053476</v>
      </c>
      <c r="M35" s="465">
        <f>세출추경예산서!F287</f>
        <v>1730425</v>
      </c>
      <c r="N35" s="959">
        <f t="shared" si="12"/>
        <v>-3323051</v>
      </c>
      <c r="O35" s="448" t="s">
        <v>116</v>
      </c>
      <c r="P35" s="448" t="s">
        <v>116</v>
      </c>
    </row>
    <row r="36" spans="1:16" ht="21.95" customHeight="1">
      <c r="A36" s="475"/>
      <c r="B36" s="535" t="s">
        <v>130</v>
      </c>
      <c r="C36" s="535"/>
      <c r="D36" s="460">
        <f>D37+D38+D39+D40+D41</f>
        <v>138087805</v>
      </c>
      <c r="E36" s="460">
        <f>E37+E38+E39+E40+E41</f>
        <v>143298954</v>
      </c>
      <c r="F36" s="460">
        <f>F37+F38+F39+F40+F41</f>
        <v>143298954</v>
      </c>
      <c r="G36" s="953">
        <f>G37+G38+G39+G40+G41</f>
        <v>0</v>
      </c>
      <c r="H36" s="479"/>
      <c r="I36" s="536" t="s">
        <v>116</v>
      </c>
      <c r="J36" s="537"/>
      <c r="K36" s="460">
        <f>K37</f>
        <v>838919770</v>
      </c>
      <c r="L36" s="460">
        <f t="shared" ref="L36:M36" si="13">L37</f>
        <v>823825741</v>
      </c>
      <c r="M36" s="460">
        <f t="shared" si="13"/>
        <v>796037021</v>
      </c>
      <c r="N36" s="958">
        <f>N37</f>
        <v>-27788720</v>
      </c>
    </row>
    <row r="37" spans="1:16" ht="21.95" customHeight="1">
      <c r="A37" s="475"/>
      <c r="B37" s="476"/>
      <c r="C37" s="464" t="s">
        <v>131</v>
      </c>
      <c r="D37" s="488">
        <f>세입추경예산서!$D$227</f>
        <v>46000000</v>
      </c>
      <c r="E37" s="488">
        <f>세입추경예산서!E$227</f>
        <v>43895350</v>
      </c>
      <c r="F37" s="488">
        <f>세입추경예산서!F$227</f>
        <v>43895350</v>
      </c>
      <c r="G37" s="954">
        <f t="shared" ref="G37:G41" si="14">F37-E37</f>
        <v>0</v>
      </c>
      <c r="H37" s="479"/>
      <c r="I37" s="480"/>
      <c r="J37" s="464" t="s">
        <v>116</v>
      </c>
      <c r="K37" s="465">
        <f>세출추경예산서!D$291</f>
        <v>838919770</v>
      </c>
      <c r="L37" s="465">
        <f>세출추경예산서!E$291</f>
        <v>823825741</v>
      </c>
      <c r="M37" s="465">
        <f>세출추경예산서!F290</f>
        <v>796037021</v>
      </c>
      <c r="N37" s="959">
        <f t="shared" ref="N37" si="15">M37-L37</f>
        <v>-27788720</v>
      </c>
      <c r="O37" s="448" t="s">
        <v>116</v>
      </c>
      <c r="P37" s="448" t="s">
        <v>116</v>
      </c>
    </row>
    <row r="38" spans="1:16" ht="21.95" customHeight="1">
      <c r="A38" s="475"/>
      <c r="B38" s="476"/>
      <c r="C38" s="464" t="s">
        <v>412</v>
      </c>
      <c r="D38" s="488">
        <f>세입추경예산서!$D$229</f>
        <v>27245000</v>
      </c>
      <c r="E38" s="488">
        <f>세입추경예산서!E$229</f>
        <v>29098232</v>
      </c>
      <c r="F38" s="488">
        <f>세입추경예산서!F$229</f>
        <v>29098232</v>
      </c>
      <c r="G38" s="954">
        <f t="shared" si="14"/>
        <v>0</v>
      </c>
      <c r="H38" s="1484" t="s">
        <v>204</v>
      </c>
      <c r="I38" s="1442"/>
      <c r="J38" s="1443"/>
      <c r="K38" s="455">
        <f t="shared" ref="K38:M38" si="16">K39</f>
        <v>26087805</v>
      </c>
      <c r="L38" s="455">
        <f t="shared" si="16"/>
        <v>25893283</v>
      </c>
      <c r="M38" s="455">
        <f t="shared" si="16"/>
        <v>27187453</v>
      </c>
      <c r="N38" s="957">
        <f>N39</f>
        <v>1294170</v>
      </c>
      <c r="O38" s="448" t="s">
        <v>116</v>
      </c>
      <c r="P38" s="448" t="s">
        <v>116</v>
      </c>
    </row>
    <row r="39" spans="1:16" ht="21.95" customHeight="1">
      <c r="A39" s="475"/>
      <c r="B39" s="476"/>
      <c r="C39" s="464" t="s">
        <v>132</v>
      </c>
      <c r="D39" s="488">
        <f>세입추경예산서!$D$232</f>
        <v>36000000</v>
      </c>
      <c r="E39" s="488">
        <f>세입추경예산서!$E$232</f>
        <v>36569474</v>
      </c>
      <c r="F39" s="488">
        <f>세입추경예산서!F$232</f>
        <v>36569474</v>
      </c>
      <c r="G39" s="954">
        <f t="shared" si="14"/>
        <v>0</v>
      </c>
      <c r="H39" s="491"/>
      <c r="I39" s="1444" t="s">
        <v>204</v>
      </c>
      <c r="J39" s="1445"/>
      <c r="K39" s="460">
        <f>K40</f>
        <v>26087805</v>
      </c>
      <c r="L39" s="460">
        <f>L40</f>
        <v>25893283</v>
      </c>
      <c r="M39" s="460">
        <f>M40</f>
        <v>27187453</v>
      </c>
      <c r="N39" s="958">
        <f>N40</f>
        <v>1294170</v>
      </c>
    </row>
    <row r="40" spans="1:16" ht="21.95" customHeight="1">
      <c r="A40" s="475"/>
      <c r="B40" s="476"/>
      <c r="C40" s="464" t="s">
        <v>134</v>
      </c>
      <c r="D40" s="488">
        <f>세입추경예산서!$D$234</f>
        <v>18900000</v>
      </c>
      <c r="E40" s="488">
        <f>세입추경예산서!$E$234</f>
        <v>23788136</v>
      </c>
      <c r="F40" s="488">
        <f>세입추경예산서!F$234</f>
        <v>23788136</v>
      </c>
      <c r="G40" s="954">
        <f t="shared" si="14"/>
        <v>0</v>
      </c>
      <c r="H40" s="491"/>
      <c r="I40" s="476"/>
      <c r="J40" s="492" t="s">
        <v>204</v>
      </c>
      <c r="K40" s="493">
        <f>세출추경예산서!D$334</f>
        <v>26087805</v>
      </c>
      <c r="L40" s="493">
        <f>세출추경예산서!E$334</f>
        <v>25893283</v>
      </c>
      <c r="M40" s="493">
        <f>세출추경예산서!N336</f>
        <v>27187453</v>
      </c>
      <c r="N40" s="959">
        <f t="shared" ref="N40" si="17">M40-L40</f>
        <v>1294170</v>
      </c>
    </row>
    <row r="41" spans="1:16" ht="21.95" customHeight="1">
      <c r="A41" s="475"/>
      <c r="B41" s="476"/>
      <c r="C41" s="464" t="s">
        <v>135</v>
      </c>
      <c r="D41" s="488">
        <f>세입추경예산서!$D$238</f>
        <v>9942805</v>
      </c>
      <c r="E41" s="488">
        <f>세입추경예산서!$E$238</f>
        <v>9947762</v>
      </c>
      <c r="F41" s="488">
        <f>세입추경예산서!F$238</f>
        <v>9947762</v>
      </c>
      <c r="G41" s="954">
        <f t="shared" si="14"/>
        <v>0</v>
      </c>
      <c r="H41" s="1484" t="s">
        <v>403</v>
      </c>
      <c r="I41" s="1442"/>
      <c r="J41" s="1443"/>
      <c r="K41" s="455">
        <f t="shared" ref="K41:L41" si="18">K42</f>
        <v>46000000</v>
      </c>
      <c r="L41" s="455">
        <f t="shared" si="18"/>
        <v>43895350</v>
      </c>
      <c r="M41" s="455">
        <f>M42</f>
        <v>43895350</v>
      </c>
      <c r="N41" s="957">
        <f>N42</f>
        <v>0</v>
      </c>
      <c r="O41" s="448" t="s">
        <v>184</v>
      </c>
      <c r="P41" s="448" t="s">
        <v>188</v>
      </c>
    </row>
    <row r="42" spans="1:16" ht="21.95" customHeight="1">
      <c r="A42" s="475"/>
      <c r="B42" s="476"/>
      <c r="C42" s="476"/>
      <c r="D42" s="559"/>
      <c r="E42" s="559"/>
      <c r="F42" s="559"/>
      <c r="G42" s="554"/>
      <c r="H42" s="491"/>
      <c r="I42" s="1444" t="s">
        <v>403</v>
      </c>
      <c r="J42" s="1445"/>
      <c r="K42" s="460">
        <f>K43</f>
        <v>46000000</v>
      </c>
      <c r="L42" s="460">
        <f>L43</f>
        <v>43895350</v>
      </c>
      <c r="M42" s="460">
        <f>M43</f>
        <v>43895350</v>
      </c>
      <c r="N42" s="958">
        <f>N43</f>
        <v>0</v>
      </c>
    </row>
    <row r="43" spans="1:16" ht="21.75" customHeight="1">
      <c r="A43" s="475"/>
      <c r="B43" s="476"/>
      <c r="C43" s="476"/>
      <c r="D43" s="559"/>
      <c r="E43" s="559"/>
      <c r="F43" s="559"/>
      <c r="G43" s="554"/>
      <c r="H43" s="491"/>
      <c r="I43" s="476"/>
      <c r="J43" s="492" t="s">
        <v>403</v>
      </c>
      <c r="K43" s="493">
        <f>세출추경예산서!D$347</f>
        <v>46000000</v>
      </c>
      <c r="L43" s="493">
        <f>세출추경예산서!E$347</f>
        <v>43895350</v>
      </c>
      <c r="M43" s="493">
        <f>세출추경예산서!F$347</f>
        <v>43895350</v>
      </c>
      <c r="N43" s="959">
        <f t="shared" ref="N43" si="19">M43-L43</f>
        <v>0</v>
      </c>
      <c r="O43" s="448" t="s">
        <v>116</v>
      </c>
      <c r="P43" s="448" t="s">
        <v>116</v>
      </c>
    </row>
    <row r="44" spans="1:16" ht="21.95" customHeight="1">
      <c r="A44" s="475"/>
      <c r="B44" s="476"/>
      <c r="C44" s="476"/>
      <c r="D44" s="559"/>
      <c r="E44" s="559"/>
      <c r="F44" s="559"/>
      <c r="G44" s="554">
        <f t="shared" ref="G44:G61" si="20">F44-E44</f>
        <v>0</v>
      </c>
      <c r="H44" s="491"/>
      <c r="I44" s="1477"/>
      <c r="J44" s="1477"/>
      <c r="K44" s="883"/>
      <c r="L44" s="883"/>
      <c r="M44" s="883"/>
      <c r="N44" s="960"/>
      <c r="O44" s="448" t="s">
        <v>185</v>
      </c>
      <c r="P44" s="448" t="s">
        <v>185</v>
      </c>
    </row>
    <row r="45" spans="1:16" ht="21.95" customHeight="1" thickBot="1">
      <c r="A45" s="475"/>
      <c r="B45" s="476"/>
      <c r="C45" s="476"/>
      <c r="D45" s="559"/>
      <c r="E45" s="559"/>
      <c r="F45" s="559"/>
      <c r="G45" s="554">
        <f t="shared" si="20"/>
        <v>0</v>
      </c>
      <c r="H45" s="491"/>
      <c r="I45" s="476"/>
      <c r="J45" s="884"/>
      <c r="K45" s="885"/>
      <c r="L45" s="885"/>
      <c r="M45" s="885"/>
      <c r="N45" s="960"/>
      <c r="O45" s="448" t="s">
        <v>116</v>
      </c>
      <c r="P45" s="448" t="s">
        <v>116</v>
      </c>
    </row>
    <row r="46" spans="1:16" ht="21.95" hidden="1" customHeight="1">
      <c r="A46" s="475"/>
      <c r="B46" s="476"/>
      <c r="C46" s="487"/>
      <c r="D46" s="488"/>
      <c r="E46" s="488"/>
      <c r="F46" s="488"/>
      <c r="G46" s="462">
        <f t="shared" si="20"/>
        <v>0</v>
      </c>
      <c r="H46" s="543"/>
      <c r="I46" s="544"/>
      <c r="J46" s="544"/>
      <c r="K46" s="544"/>
      <c r="L46" s="544"/>
      <c r="M46" s="544"/>
      <c r="N46" s="552">
        <f t="shared" ref="N46:N61" si="21">M46-L46</f>
        <v>0</v>
      </c>
    </row>
    <row r="47" spans="1:16" ht="21.95" hidden="1" customHeight="1">
      <c r="A47" s="475"/>
      <c r="B47" s="476"/>
      <c r="C47" s="487"/>
      <c r="D47" s="488"/>
      <c r="E47" s="462"/>
      <c r="F47" s="462"/>
      <c r="G47" s="462">
        <f t="shared" si="20"/>
        <v>0</v>
      </c>
      <c r="H47" s="543"/>
      <c r="I47" s="544"/>
      <c r="J47" s="544"/>
      <c r="K47" s="544"/>
      <c r="L47" s="544"/>
      <c r="M47" s="544"/>
      <c r="N47" s="552">
        <f t="shared" si="21"/>
        <v>0</v>
      </c>
      <c r="O47" s="448" t="s">
        <v>184</v>
      </c>
      <c r="P47" s="448" t="s">
        <v>188</v>
      </c>
    </row>
    <row r="48" spans="1:16" ht="21.95" hidden="1" customHeight="1">
      <c r="A48" s="475"/>
      <c r="B48" s="476"/>
      <c r="C48" s="472"/>
      <c r="D48" s="489"/>
      <c r="E48" s="490"/>
      <c r="F48" s="490"/>
      <c r="G48" s="490">
        <f t="shared" si="20"/>
        <v>0</v>
      </c>
      <c r="H48" s="543"/>
      <c r="I48" s="544"/>
      <c r="J48" s="544"/>
      <c r="K48" s="544"/>
      <c r="L48" s="544"/>
      <c r="M48" s="544"/>
      <c r="N48" s="552">
        <f t="shared" si="21"/>
        <v>0</v>
      </c>
      <c r="O48" s="448" t="s">
        <v>116</v>
      </c>
      <c r="P48" s="448" t="s">
        <v>116</v>
      </c>
    </row>
    <row r="49" spans="1:17" ht="21.95" hidden="1" customHeight="1">
      <c r="A49" s="475"/>
      <c r="B49" s="476"/>
      <c r="C49" s="472"/>
      <c r="D49" s="489"/>
      <c r="E49" s="490"/>
      <c r="F49" s="490"/>
      <c r="G49" s="490">
        <f t="shared" si="20"/>
        <v>0</v>
      </c>
      <c r="H49" s="543"/>
      <c r="I49" s="544"/>
      <c r="J49" s="544"/>
      <c r="K49" s="544"/>
      <c r="L49" s="544"/>
      <c r="M49" s="544"/>
      <c r="N49" s="552">
        <f t="shared" si="21"/>
        <v>0</v>
      </c>
    </row>
    <row r="50" spans="1:17" ht="21.95" hidden="1" customHeight="1">
      <c r="A50" s="475"/>
      <c r="B50" s="476"/>
      <c r="C50" s="472"/>
      <c r="D50" s="489"/>
      <c r="E50" s="490"/>
      <c r="F50" s="490"/>
      <c r="G50" s="490">
        <f t="shared" si="20"/>
        <v>0</v>
      </c>
      <c r="H50" s="543"/>
      <c r="I50" s="544"/>
      <c r="J50" s="544"/>
      <c r="K50" s="544"/>
      <c r="L50" s="544"/>
      <c r="M50" s="544"/>
      <c r="N50" s="552">
        <f t="shared" si="21"/>
        <v>0</v>
      </c>
      <c r="O50" s="448" t="s">
        <v>116</v>
      </c>
      <c r="P50" s="448" t="s">
        <v>116</v>
      </c>
    </row>
    <row r="51" spans="1:17" ht="21.95" hidden="1" customHeight="1">
      <c r="A51" s="475"/>
      <c r="B51" s="476"/>
      <c r="C51" s="472"/>
      <c r="D51" s="489"/>
      <c r="E51" s="490"/>
      <c r="F51" s="490"/>
      <c r="G51" s="490">
        <f t="shared" si="20"/>
        <v>0</v>
      </c>
      <c r="H51" s="543"/>
      <c r="I51" s="544"/>
      <c r="J51" s="544"/>
      <c r="K51" s="544"/>
      <c r="L51" s="544"/>
      <c r="M51" s="544"/>
      <c r="N51" s="552">
        <f t="shared" si="21"/>
        <v>0</v>
      </c>
      <c r="O51" s="448" t="s">
        <v>116</v>
      </c>
      <c r="P51" s="448" t="s">
        <v>116</v>
      </c>
    </row>
    <row r="52" spans="1:17" ht="21.95" hidden="1" customHeight="1">
      <c r="A52" s="475"/>
      <c r="B52" s="476"/>
      <c r="C52" s="472"/>
      <c r="D52" s="489"/>
      <c r="E52" s="490"/>
      <c r="F52" s="490"/>
      <c r="G52" s="490">
        <f t="shared" si="20"/>
        <v>0</v>
      </c>
      <c r="H52" s="543"/>
      <c r="I52" s="544"/>
      <c r="J52" s="544"/>
      <c r="K52" s="544"/>
      <c r="L52" s="544"/>
      <c r="M52" s="544"/>
      <c r="N52" s="552">
        <f t="shared" si="21"/>
        <v>0</v>
      </c>
      <c r="O52" s="448" t="s">
        <v>184</v>
      </c>
      <c r="P52" s="448" t="s">
        <v>188</v>
      </c>
    </row>
    <row r="53" spans="1:17" ht="21.95" hidden="1" customHeight="1">
      <c r="A53" s="475"/>
      <c r="B53" s="476"/>
      <c r="C53" s="472"/>
      <c r="D53" s="489"/>
      <c r="E53" s="490"/>
      <c r="F53" s="490"/>
      <c r="G53" s="490">
        <f t="shared" si="20"/>
        <v>0</v>
      </c>
      <c r="H53" s="543"/>
      <c r="I53" s="544"/>
      <c r="J53" s="544"/>
      <c r="K53" s="544"/>
      <c r="L53" s="544"/>
      <c r="M53" s="544"/>
      <c r="N53" s="552">
        <f t="shared" si="21"/>
        <v>0</v>
      </c>
      <c r="O53" s="448" t="s">
        <v>204</v>
      </c>
      <c r="P53" s="448" t="s">
        <v>204</v>
      </c>
    </row>
    <row r="54" spans="1:17" ht="21.95" hidden="1" customHeight="1">
      <c r="A54" s="475"/>
      <c r="B54" s="476"/>
      <c r="C54" s="472"/>
      <c r="D54" s="489"/>
      <c r="E54" s="490"/>
      <c r="F54" s="490"/>
      <c r="G54" s="490">
        <f t="shared" si="20"/>
        <v>0</v>
      </c>
      <c r="H54" s="543"/>
      <c r="I54" s="544"/>
      <c r="J54" s="544"/>
      <c r="K54" s="544"/>
      <c r="L54" s="544"/>
      <c r="M54" s="544"/>
      <c r="N54" s="552">
        <f t="shared" si="21"/>
        <v>0</v>
      </c>
      <c r="O54" s="448" t="s">
        <v>204</v>
      </c>
      <c r="P54" s="448" t="s">
        <v>204</v>
      </c>
    </row>
    <row r="55" spans="1:17" ht="21.95" hidden="1" customHeight="1">
      <c r="A55" s="475"/>
      <c r="B55" s="476"/>
      <c r="C55" s="476"/>
      <c r="D55" s="476"/>
      <c r="E55" s="494"/>
      <c r="F55" s="494"/>
      <c r="G55" s="494">
        <f t="shared" si="20"/>
        <v>0</v>
      </c>
      <c r="H55" s="543"/>
      <c r="I55" s="544"/>
      <c r="J55" s="544"/>
      <c r="K55" s="544"/>
      <c r="L55" s="544"/>
      <c r="M55" s="544"/>
      <c r="N55" s="552">
        <f t="shared" si="21"/>
        <v>0</v>
      </c>
      <c r="O55" s="448" t="s">
        <v>204</v>
      </c>
      <c r="P55" s="448" t="s">
        <v>204</v>
      </c>
    </row>
    <row r="56" spans="1:17" ht="21.95" hidden="1" customHeight="1">
      <c r="A56" s="475"/>
      <c r="B56" s="476"/>
      <c r="C56" s="476"/>
      <c r="D56" s="476"/>
      <c r="E56" s="494"/>
      <c r="F56" s="494"/>
      <c r="G56" s="494">
        <f t="shared" si="20"/>
        <v>0</v>
      </c>
      <c r="H56" s="543"/>
      <c r="I56" s="544"/>
      <c r="J56" s="544"/>
      <c r="K56" s="544"/>
      <c r="L56" s="544"/>
      <c r="M56" s="544"/>
      <c r="N56" s="552">
        <f t="shared" si="21"/>
        <v>0</v>
      </c>
    </row>
    <row r="57" spans="1:17" ht="21.95" hidden="1" customHeight="1">
      <c r="A57" s="475"/>
      <c r="B57" s="476"/>
      <c r="C57" s="476"/>
      <c r="D57" s="476"/>
      <c r="E57" s="494"/>
      <c r="F57" s="494"/>
      <c r="G57" s="494">
        <f t="shared" si="20"/>
        <v>0</v>
      </c>
      <c r="H57" s="543"/>
      <c r="I57" s="544"/>
      <c r="J57" s="544"/>
      <c r="K57" s="544"/>
      <c r="L57" s="544"/>
      <c r="M57" s="544"/>
      <c r="N57" s="552">
        <f t="shared" si="21"/>
        <v>0</v>
      </c>
    </row>
    <row r="58" spans="1:17" ht="21.95" hidden="1" customHeight="1">
      <c r="A58" s="475"/>
      <c r="B58" s="476"/>
      <c r="C58" s="476"/>
      <c r="D58" s="476"/>
      <c r="E58" s="494"/>
      <c r="F58" s="494"/>
      <c r="G58" s="494">
        <f t="shared" si="20"/>
        <v>0</v>
      </c>
      <c r="H58" s="543"/>
      <c r="I58" s="544"/>
      <c r="J58" s="544"/>
      <c r="K58" s="544"/>
      <c r="L58" s="544"/>
      <c r="M58" s="544"/>
      <c r="N58" s="552">
        <f t="shared" si="21"/>
        <v>0</v>
      </c>
    </row>
    <row r="59" spans="1:17" ht="21.95" hidden="1" customHeight="1">
      <c r="A59" s="475"/>
      <c r="B59" s="476"/>
      <c r="C59" s="476"/>
      <c r="D59" s="476"/>
      <c r="E59" s="494"/>
      <c r="F59" s="494"/>
      <c r="G59" s="494">
        <f t="shared" si="20"/>
        <v>0</v>
      </c>
      <c r="H59" s="543"/>
      <c r="I59" s="544"/>
      <c r="J59" s="544"/>
      <c r="K59" s="544"/>
      <c r="L59" s="544"/>
      <c r="M59" s="544"/>
      <c r="N59" s="552">
        <f t="shared" si="21"/>
        <v>0</v>
      </c>
      <c r="O59" s="448" t="s">
        <v>403</v>
      </c>
      <c r="P59" s="448" t="s">
        <v>403</v>
      </c>
    </row>
    <row r="60" spans="1:17" ht="21.95" hidden="1" customHeight="1">
      <c r="A60" s="475"/>
      <c r="B60" s="476"/>
      <c r="C60" s="476"/>
      <c r="D60" s="476"/>
      <c r="E60" s="494"/>
      <c r="F60" s="494"/>
      <c r="G60" s="494">
        <f t="shared" si="20"/>
        <v>0</v>
      </c>
      <c r="H60" s="543"/>
      <c r="I60" s="544"/>
      <c r="J60" s="544"/>
      <c r="K60" s="544"/>
      <c r="L60" s="544"/>
      <c r="M60" s="544"/>
      <c r="N60" s="552">
        <f t="shared" si="21"/>
        <v>0</v>
      </c>
      <c r="O60" s="448" t="s">
        <v>403</v>
      </c>
      <c r="P60" s="448" t="s">
        <v>403</v>
      </c>
    </row>
    <row r="61" spans="1:17" ht="21.95" hidden="1" customHeight="1" thickBot="1">
      <c r="A61" s="475"/>
      <c r="B61" s="476"/>
      <c r="C61" s="476"/>
      <c r="D61" s="476"/>
      <c r="E61" s="494"/>
      <c r="F61" s="494"/>
      <c r="G61" s="494">
        <f t="shared" si="20"/>
        <v>0</v>
      </c>
      <c r="H61" s="545"/>
      <c r="I61" s="546"/>
      <c r="J61" s="546"/>
      <c r="K61" s="546"/>
      <c r="L61" s="546"/>
      <c r="M61" s="546"/>
      <c r="N61" s="553">
        <f t="shared" si="21"/>
        <v>0</v>
      </c>
      <c r="O61" s="448" t="s">
        <v>403</v>
      </c>
      <c r="P61" s="448" t="s">
        <v>403</v>
      </c>
      <c r="Q61" s="448" t="s">
        <v>245</v>
      </c>
    </row>
    <row r="62" spans="1:17" ht="21.95" customHeight="1" thickTop="1" thickBot="1">
      <c r="A62" s="495" t="s">
        <v>242</v>
      </c>
      <c r="B62" s="496"/>
      <c r="C62" s="496"/>
      <c r="D62" s="497">
        <f>D9</f>
        <v>2263747735</v>
      </c>
      <c r="E62" s="497">
        <f>E9</f>
        <v>2221710128</v>
      </c>
      <c r="F62" s="497">
        <f>F9</f>
        <v>2107383054</v>
      </c>
      <c r="G62" s="962">
        <f>F62-E62</f>
        <v>-114327074</v>
      </c>
      <c r="H62" s="499" t="s">
        <v>242</v>
      </c>
      <c r="I62" s="496"/>
      <c r="J62" s="496"/>
      <c r="K62" s="500">
        <f>K9</f>
        <v>2263747735</v>
      </c>
      <c r="L62" s="500">
        <f>L9</f>
        <v>2221710128</v>
      </c>
      <c r="M62" s="500">
        <f>M9</f>
        <v>2107383054</v>
      </c>
      <c r="N62" s="961">
        <f>M62-L62</f>
        <v>-114327074</v>
      </c>
    </row>
    <row r="63" spans="1:17" ht="18" customHeight="1" thickBot="1">
      <c r="A63" s="548"/>
      <c r="B63" s="549"/>
      <c r="C63" s="549"/>
      <c r="D63" s="550"/>
      <c r="E63" s="498"/>
      <c r="F63" s="498"/>
      <c r="G63" s="551"/>
      <c r="H63" s="555"/>
      <c r="I63" s="555"/>
      <c r="J63" s="556"/>
      <c r="K63" s="557"/>
      <c r="L63" s="557"/>
      <c r="M63" s="557"/>
      <c r="N63" s="558" t="s">
        <v>623</v>
      </c>
    </row>
    <row r="64" spans="1:17" ht="21" customHeight="1">
      <c r="A64" s="474"/>
      <c r="B64" s="474"/>
      <c r="C64" s="474"/>
      <c r="D64" s="501"/>
      <c r="E64" s="501"/>
      <c r="F64" s="501"/>
      <c r="G64" s="501"/>
    </row>
    <row r="65" spans="1:18" ht="21" customHeight="1">
      <c r="A65" s="474"/>
      <c r="B65" s="474"/>
      <c r="C65" s="474"/>
      <c r="D65" s="501"/>
      <c r="E65" s="501"/>
      <c r="F65" s="501"/>
      <c r="G65" s="501"/>
    </row>
    <row r="66" spans="1:18" ht="21.95" customHeight="1">
      <c r="A66" s="474"/>
      <c r="B66" s="474"/>
      <c r="C66" s="474"/>
      <c r="D66" s="501"/>
      <c r="E66" s="501"/>
      <c r="F66" s="501"/>
      <c r="G66" s="501"/>
    </row>
    <row r="67" spans="1:18" ht="21.95" customHeight="1">
      <c r="A67" s="474"/>
      <c r="B67" s="474"/>
      <c r="C67" s="474"/>
      <c r="D67" s="501"/>
      <c r="E67" s="501"/>
      <c r="F67" s="501"/>
      <c r="G67" s="501"/>
    </row>
    <row r="68" spans="1:18" ht="21.95" customHeight="1"/>
    <row r="69" spans="1:18" ht="21.95" customHeight="1"/>
    <row r="70" spans="1:18" ht="21.95" customHeight="1"/>
    <row r="71" spans="1:18" ht="21.95" customHeight="1"/>
    <row r="72" spans="1:18" ht="21.95" customHeight="1"/>
    <row r="73" spans="1:18" ht="21.95" customHeight="1">
      <c r="R73" s="502"/>
    </row>
    <row r="74" spans="1:18" ht="14.1" customHeight="1"/>
    <row r="75" spans="1:18" ht="15.75" customHeight="1"/>
    <row r="76" spans="1:18">
      <c r="O76" s="502"/>
    </row>
    <row r="117" spans="5:13" ht="17.25" thickBot="1"/>
    <row r="118" spans="5:13" ht="17.25" thickBot="1">
      <c r="H118" s="503"/>
      <c r="I118" s="504"/>
      <c r="J118" s="504"/>
      <c r="K118" s="505"/>
      <c r="L118" s="505"/>
      <c r="M118" s="506"/>
    </row>
    <row r="124" spans="5:13" ht="17.25" thickBot="1"/>
    <row r="125" spans="5:13" ht="17.25" thickBot="1">
      <c r="E125" s="503" t="s">
        <v>26</v>
      </c>
      <c r="F125" s="503"/>
      <c r="G125" s="503"/>
    </row>
    <row r="129" ht="21" customHeight="1"/>
  </sheetData>
  <mergeCells count="40">
    <mergeCell ref="I44:J44"/>
    <mergeCell ref="B11:C11"/>
    <mergeCell ref="I11:J11"/>
    <mergeCell ref="A14:C14"/>
    <mergeCell ref="B15:C15"/>
    <mergeCell ref="I16:J16"/>
    <mergeCell ref="H26:J26"/>
    <mergeCell ref="I27:J27"/>
    <mergeCell ref="I23:J23"/>
    <mergeCell ref="H31:J31"/>
    <mergeCell ref="I42:J42"/>
    <mergeCell ref="H41:J41"/>
    <mergeCell ref="H38:J38"/>
    <mergeCell ref="A23:C23"/>
    <mergeCell ref="A27:C27"/>
    <mergeCell ref="A30:C30"/>
    <mergeCell ref="G7:G8"/>
    <mergeCell ref="H7:H8"/>
    <mergeCell ref="A9:C9"/>
    <mergeCell ref="H9:J9"/>
    <mergeCell ref="A10:C10"/>
    <mergeCell ref="H10:J10"/>
    <mergeCell ref="I7:I8"/>
    <mergeCell ref="J7:J8"/>
    <mergeCell ref="A35:C35"/>
    <mergeCell ref="I39:J39"/>
    <mergeCell ref="A2:N2"/>
    <mergeCell ref="A4:N4"/>
    <mergeCell ref="A6:G6"/>
    <mergeCell ref="H6:N6"/>
    <mergeCell ref="A7:A8"/>
    <mergeCell ref="B7:B8"/>
    <mergeCell ref="C7:C8"/>
    <mergeCell ref="D7:D8"/>
    <mergeCell ref="E7:E8"/>
    <mergeCell ref="F7:F8"/>
    <mergeCell ref="N7:N8"/>
    <mergeCell ref="K7:K8"/>
    <mergeCell ref="L7:L8"/>
    <mergeCell ref="M7:M8"/>
  </mergeCells>
  <phoneticPr fontId="3" type="noConversion"/>
  <printOptions horizontalCentered="1" verticalCentered="1"/>
  <pageMargins left="0.15748031496062992" right="0.19685039370078741" top="0.55118110236220474" bottom="0.55118110236220474" header="0.51181102362204722" footer="0.51181102362204722"/>
  <pageSetup paperSize="8" scale="77" orientation="portrait" r:id="rId1"/>
  <rowBreaks count="1" manualBreakCount="1">
    <brk id="7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5FD1-A6DF-4A0E-B64A-69C3D76AB854}">
  <sheetPr>
    <pageSetUpPr fitToPage="1"/>
  </sheetPr>
  <dimension ref="A1:K169"/>
  <sheetViews>
    <sheetView view="pageBreakPreview" zoomScaleNormal="100" zoomScaleSheetLayoutView="100" workbookViewId="0">
      <pane ySplit="5" topLeftCell="A133" activePane="bottomLeft" state="frozen"/>
      <selection pane="bottomLeft" activeCell="D145" sqref="D145:E168"/>
    </sheetView>
  </sheetViews>
  <sheetFormatPr defaultRowHeight="13.5"/>
  <cols>
    <col min="1" max="1" width="8.6640625" style="260" customWidth="1"/>
    <col min="2" max="2" width="7.88671875" style="260" customWidth="1"/>
    <col min="3" max="3" width="20.88671875" style="260" customWidth="1"/>
    <col min="4" max="5" width="13.77734375" style="260" customWidth="1"/>
    <col min="6" max="6" width="13.77734375" style="260" hidden="1" customWidth="1"/>
    <col min="7" max="7" width="13.77734375" style="260" customWidth="1"/>
    <col min="8" max="8" width="63.88671875" style="260" bestFit="1" customWidth="1"/>
    <col min="9" max="9" width="10.44140625" style="260" customWidth="1"/>
    <col min="10" max="10" width="20.109375" style="260" customWidth="1"/>
    <col min="11" max="11" width="13.88671875" style="260" bestFit="1" customWidth="1"/>
    <col min="12" max="12" width="12.6640625" style="260" customWidth="1"/>
    <col min="13" max="13" width="12.6640625" style="260" bestFit="1" customWidth="1"/>
    <col min="14" max="14" width="14.109375" style="260" bestFit="1" customWidth="1"/>
    <col min="15" max="15" width="8.88671875" style="260"/>
    <col min="16" max="16" width="15.88671875" style="260" customWidth="1"/>
    <col min="17" max="256" width="8.88671875" style="260"/>
    <col min="257" max="257" width="8.6640625" style="260" customWidth="1"/>
    <col min="258" max="258" width="7.88671875" style="260" customWidth="1"/>
    <col min="259" max="259" width="19.109375" style="260" bestFit="1" customWidth="1"/>
    <col min="260" max="261" width="13.77734375" style="260" customWidth="1"/>
    <col min="262" max="262" width="0" style="260" hidden="1" customWidth="1"/>
    <col min="263" max="263" width="13.77734375" style="260" customWidth="1"/>
    <col min="264" max="264" width="62.44140625" style="260" bestFit="1" customWidth="1"/>
    <col min="265" max="265" width="10.6640625" style="260" customWidth="1"/>
    <col min="266" max="266" width="20.109375" style="260" customWidth="1"/>
    <col min="267" max="267" width="13.88671875" style="260" bestFit="1" customWidth="1"/>
    <col min="268" max="268" width="12.6640625" style="260" customWidth="1"/>
    <col min="269" max="269" width="12.6640625" style="260" bestFit="1" customWidth="1"/>
    <col min="270" max="270" width="14.109375" style="260" bestFit="1" customWidth="1"/>
    <col min="271" max="271" width="8.88671875" style="260"/>
    <col min="272" max="272" width="15.88671875" style="260" customWidth="1"/>
    <col min="273" max="512" width="8.88671875" style="260"/>
    <col min="513" max="513" width="8.6640625" style="260" customWidth="1"/>
    <col min="514" max="514" width="7.88671875" style="260" customWidth="1"/>
    <col min="515" max="515" width="19.109375" style="260" bestFit="1" customWidth="1"/>
    <col min="516" max="517" width="13.77734375" style="260" customWidth="1"/>
    <col min="518" max="518" width="0" style="260" hidden="1" customWidth="1"/>
    <col min="519" max="519" width="13.77734375" style="260" customWidth="1"/>
    <col min="520" max="520" width="62.44140625" style="260" bestFit="1" customWidth="1"/>
    <col min="521" max="521" width="10.6640625" style="260" customWidth="1"/>
    <col min="522" max="522" width="20.109375" style="260" customWidth="1"/>
    <col min="523" max="523" width="13.88671875" style="260" bestFit="1" customWidth="1"/>
    <col min="524" max="524" width="12.6640625" style="260" customWidth="1"/>
    <col min="525" max="525" width="12.6640625" style="260" bestFit="1" customWidth="1"/>
    <col min="526" max="526" width="14.109375" style="260" bestFit="1" customWidth="1"/>
    <col min="527" max="527" width="8.88671875" style="260"/>
    <col min="528" max="528" width="15.88671875" style="260" customWidth="1"/>
    <col min="529" max="768" width="8.88671875" style="260"/>
    <col min="769" max="769" width="8.6640625" style="260" customWidth="1"/>
    <col min="770" max="770" width="7.88671875" style="260" customWidth="1"/>
    <col min="771" max="771" width="19.109375" style="260" bestFit="1" customWidth="1"/>
    <col min="772" max="773" width="13.77734375" style="260" customWidth="1"/>
    <col min="774" max="774" width="0" style="260" hidden="1" customWidth="1"/>
    <col min="775" max="775" width="13.77734375" style="260" customWidth="1"/>
    <col min="776" max="776" width="62.44140625" style="260" bestFit="1" customWidth="1"/>
    <col min="777" max="777" width="10.6640625" style="260" customWidth="1"/>
    <col min="778" max="778" width="20.109375" style="260" customWidth="1"/>
    <col min="779" max="779" width="13.88671875" style="260" bestFit="1" customWidth="1"/>
    <col min="780" max="780" width="12.6640625" style="260" customWidth="1"/>
    <col min="781" max="781" width="12.6640625" style="260" bestFit="1" customWidth="1"/>
    <col min="782" max="782" width="14.109375" style="260" bestFit="1" customWidth="1"/>
    <col min="783" max="783" width="8.88671875" style="260"/>
    <col min="784" max="784" width="15.88671875" style="260" customWidth="1"/>
    <col min="785" max="1024" width="8.88671875" style="260"/>
    <col min="1025" max="1025" width="8.6640625" style="260" customWidth="1"/>
    <col min="1026" max="1026" width="7.88671875" style="260" customWidth="1"/>
    <col min="1027" max="1027" width="19.109375" style="260" bestFit="1" customWidth="1"/>
    <col min="1028" max="1029" width="13.77734375" style="260" customWidth="1"/>
    <col min="1030" max="1030" width="0" style="260" hidden="1" customWidth="1"/>
    <col min="1031" max="1031" width="13.77734375" style="260" customWidth="1"/>
    <col min="1032" max="1032" width="62.44140625" style="260" bestFit="1" customWidth="1"/>
    <col min="1033" max="1033" width="10.6640625" style="260" customWidth="1"/>
    <col min="1034" max="1034" width="20.109375" style="260" customWidth="1"/>
    <col min="1035" max="1035" width="13.88671875" style="260" bestFit="1" customWidth="1"/>
    <col min="1036" max="1036" width="12.6640625" style="260" customWidth="1"/>
    <col min="1037" max="1037" width="12.6640625" style="260" bestFit="1" customWidth="1"/>
    <col min="1038" max="1038" width="14.109375" style="260" bestFit="1" customWidth="1"/>
    <col min="1039" max="1039" width="8.88671875" style="260"/>
    <col min="1040" max="1040" width="15.88671875" style="260" customWidth="1"/>
    <col min="1041" max="1280" width="8.88671875" style="260"/>
    <col min="1281" max="1281" width="8.6640625" style="260" customWidth="1"/>
    <col min="1282" max="1282" width="7.88671875" style="260" customWidth="1"/>
    <col min="1283" max="1283" width="19.109375" style="260" bestFit="1" customWidth="1"/>
    <col min="1284" max="1285" width="13.77734375" style="260" customWidth="1"/>
    <col min="1286" max="1286" width="0" style="260" hidden="1" customWidth="1"/>
    <col min="1287" max="1287" width="13.77734375" style="260" customWidth="1"/>
    <col min="1288" max="1288" width="62.44140625" style="260" bestFit="1" customWidth="1"/>
    <col min="1289" max="1289" width="10.6640625" style="260" customWidth="1"/>
    <col min="1290" max="1290" width="20.109375" style="260" customWidth="1"/>
    <col min="1291" max="1291" width="13.88671875" style="260" bestFit="1" customWidth="1"/>
    <col min="1292" max="1292" width="12.6640625" style="260" customWidth="1"/>
    <col min="1293" max="1293" width="12.6640625" style="260" bestFit="1" customWidth="1"/>
    <col min="1294" max="1294" width="14.109375" style="260" bestFit="1" customWidth="1"/>
    <col min="1295" max="1295" width="8.88671875" style="260"/>
    <col min="1296" max="1296" width="15.88671875" style="260" customWidth="1"/>
    <col min="1297" max="1536" width="8.88671875" style="260"/>
    <col min="1537" max="1537" width="8.6640625" style="260" customWidth="1"/>
    <col min="1538" max="1538" width="7.88671875" style="260" customWidth="1"/>
    <col min="1539" max="1539" width="19.109375" style="260" bestFit="1" customWidth="1"/>
    <col min="1540" max="1541" width="13.77734375" style="260" customWidth="1"/>
    <col min="1542" max="1542" width="0" style="260" hidden="1" customWidth="1"/>
    <col min="1543" max="1543" width="13.77734375" style="260" customWidth="1"/>
    <col min="1544" max="1544" width="62.44140625" style="260" bestFit="1" customWidth="1"/>
    <col min="1545" max="1545" width="10.6640625" style="260" customWidth="1"/>
    <col min="1546" max="1546" width="20.109375" style="260" customWidth="1"/>
    <col min="1547" max="1547" width="13.88671875" style="260" bestFit="1" customWidth="1"/>
    <col min="1548" max="1548" width="12.6640625" style="260" customWidth="1"/>
    <col min="1549" max="1549" width="12.6640625" style="260" bestFit="1" customWidth="1"/>
    <col min="1550" max="1550" width="14.109375" style="260" bestFit="1" customWidth="1"/>
    <col min="1551" max="1551" width="8.88671875" style="260"/>
    <col min="1552" max="1552" width="15.88671875" style="260" customWidth="1"/>
    <col min="1553" max="1792" width="8.88671875" style="260"/>
    <col min="1793" max="1793" width="8.6640625" style="260" customWidth="1"/>
    <col min="1794" max="1794" width="7.88671875" style="260" customWidth="1"/>
    <col min="1795" max="1795" width="19.109375" style="260" bestFit="1" customWidth="1"/>
    <col min="1796" max="1797" width="13.77734375" style="260" customWidth="1"/>
    <col min="1798" max="1798" width="0" style="260" hidden="1" customWidth="1"/>
    <col min="1799" max="1799" width="13.77734375" style="260" customWidth="1"/>
    <col min="1800" max="1800" width="62.44140625" style="260" bestFit="1" customWidth="1"/>
    <col min="1801" max="1801" width="10.6640625" style="260" customWidth="1"/>
    <col min="1802" max="1802" width="20.109375" style="260" customWidth="1"/>
    <col min="1803" max="1803" width="13.88671875" style="260" bestFit="1" customWidth="1"/>
    <col min="1804" max="1804" width="12.6640625" style="260" customWidth="1"/>
    <col min="1805" max="1805" width="12.6640625" style="260" bestFit="1" customWidth="1"/>
    <col min="1806" max="1806" width="14.109375" style="260" bestFit="1" customWidth="1"/>
    <col min="1807" max="1807" width="8.88671875" style="260"/>
    <col min="1808" max="1808" width="15.88671875" style="260" customWidth="1"/>
    <col min="1809" max="2048" width="8.88671875" style="260"/>
    <col min="2049" max="2049" width="8.6640625" style="260" customWidth="1"/>
    <col min="2050" max="2050" width="7.88671875" style="260" customWidth="1"/>
    <col min="2051" max="2051" width="19.109375" style="260" bestFit="1" customWidth="1"/>
    <col min="2052" max="2053" width="13.77734375" style="260" customWidth="1"/>
    <col min="2054" max="2054" width="0" style="260" hidden="1" customWidth="1"/>
    <col min="2055" max="2055" width="13.77734375" style="260" customWidth="1"/>
    <col min="2056" max="2056" width="62.44140625" style="260" bestFit="1" customWidth="1"/>
    <col min="2057" max="2057" width="10.6640625" style="260" customWidth="1"/>
    <col min="2058" max="2058" width="20.109375" style="260" customWidth="1"/>
    <col min="2059" max="2059" width="13.88671875" style="260" bestFit="1" customWidth="1"/>
    <col min="2060" max="2060" width="12.6640625" style="260" customWidth="1"/>
    <col min="2061" max="2061" width="12.6640625" style="260" bestFit="1" customWidth="1"/>
    <col min="2062" max="2062" width="14.109375" style="260" bestFit="1" customWidth="1"/>
    <col min="2063" max="2063" width="8.88671875" style="260"/>
    <col min="2064" max="2064" width="15.88671875" style="260" customWidth="1"/>
    <col min="2065" max="2304" width="8.88671875" style="260"/>
    <col min="2305" max="2305" width="8.6640625" style="260" customWidth="1"/>
    <col min="2306" max="2306" width="7.88671875" style="260" customWidth="1"/>
    <col min="2307" max="2307" width="19.109375" style="260" bestFit="1" customWidth="1"/>
    <col min="2308" max="2309" width="13.77734375" style="260" customWidth="1"/>
    <col min="2310" max="2310" width="0" style="260" hidden="1" customWidth="1"/>
    <col min="2311" max="2311" width="13.77734375" style="260" customWidth="1"/>
    <col min="2312" max="2312" width="62.44140625" style="260" bestFit="1" customWidth="1"/>
    <col min="2313" max="2313" width="10.6640625" style="260" customWidth="1"/>
    <col min="2314" max="2314" width="20.109375" style="260" customWidth="1"/>
    <col min="2315" max="2315" width="13.88671875" style="260" bestFit="1" customWidth="1"/>
    <col min="2316" max="2316" width="12.6640625" style="260" customWidth="1"/>
    <col min="2317" max="2317" width="12.6640625" style="260" bestFit="1" customWidth="1"/>
    <col min="2318" max="2318" width="14.109375" style="260" bestFit="1" customWidth="1"/>
    <col min="2319" max="2319" width="8.88671875" style="260"/>
    <col min="2320" max="2320" width="15.88671875" style="260" customWidth="1"/>
    <col min="2321" max="2560" width="8.88671875" style="260"/>
    <col min="2561" max="2561" width="8.6640625" style="260" customWidth="1"/>
    <col min="2562" max="2562" width="7.88671875" style="260" customWidth="1"/>
    <col min="2563" max="2563" width="19.109375" style="260" bestFit="1" customWidth="1"/>
    <col min="2564" max="2565" width="13.77734375" style="260" customWidth="1"/>
    <col min="2566" max="2566" width="0" style="260" hidden="1" customWidth="1"/>
    <col min="2567" max="2567" width="13.77734375" style="260" customWidth="1"/>
    <col min="2568" max="2568" width="62.44140625" style="260" bestFit="1" customWidth="1"/>
    <col min="2569" max="2569" width="10.6640625" style="260" customWidth="1"/>
    <col min="2570" max="2570" width="20.109375" style="260" customWidth="1"/>
    <col min="2571" max="2571" width="13.88671875" style="260" bestFit="1" customWidth="1"/>
    <col min="2572" max="2572" width="12.6640625" style="260" customWidth="1"/>
    <col min="2573" max="2573" width="12.6640625" style="260" bestFit="1" customWidth="1"/>
    <col min="2574" max="2574" width="14.109375" style="260" bestFit="1" customWidth="1"/>
    <col min="2575" max="2575" width="8.88671875" style="260"/>
    <col min="2576" max="2576" width="15.88671875" style="260" customWidth="1"/>
    <col min="2577" max="2816" width="8.88671875" style="260"/>
    <col min="2817" max="2817" width="8.6640625" style="260" customWidth="1"/>
    <col min="2818" max="2818" width="7.88671875" style="260" customWidth="1"/>
    <col min="2819" max="2819" width="19.109375" style="260" bestFit="1" customWidth="1"/>
    <col min="2820" max="2821" width="13.77734375" style="260" customWidth="1"/>
    <col min="2822" max="2822" width="0" style="260" hidden="1" customWidth="1"/>
    <col min="2823" max="2823" width="13.77734375" style="260" customWidth="1"/>
    <col min="2824" max="2824" width="62.44140625" style="260" bestFit="1" customWidth="1"/>
    <col min="2825" max="2825" width="10.6640625" style="260" customWidth="1"/>
    <col min="2826" max="2826" width="20.109375" style="260" customWidth="1"/>
    <col min="2827" max="2827" width="13.88671875" style="260" bestFit="1" customWidth="1"/>
    <col min="2828" max="2828" width="12.6640625" style="260" customWidth="1"/>
    <col min="2829" max="2829" width="12.6640625" style="260" bestFit="1" customWidth="1"/>
    <col min="2830" max="2830" width="14.109375" style="260" bestFit="1" customWidth="1"/>
    <col min="2831" max="2831" width="8.88671875" style="260"/>
    <col min="2832" max="2832" width="15.88671875" style="260" customWidth="1"/>
    <col min="2833" max="3072" width="8.88671875" style="260"/>
    <col min="3073" max="3073" width="8.6640625" style="260" customWidth="1"/>
    <col min="3074" max="3074" width="7.88671875" style="260" customWidth="1"/>
    <col min="3075" max="3075" width="19.109375" style="260" bestFit="1" customWidth="1"/>
    <col min="3076" max="3077" width="13.77734375" style="260" customWidth="1"/>
    <col min="3078" max="3078" width="0" style="260" hidden="1" customWidth="1"/>
    <col min="3079" max="3079" width="13.77734375" style="260" customWidth="1"/>
    <col min="3080" max="3080" width="62.44140625" style="260" bestFit="1" customWidth="1"/>
    <col min="3081" max="3081" width="10.6640625" style="260" customWidth="1"/>
    <col min="3082" max="3082" width="20.109375" style="260" customWidth="1"/>
    <col min="3083" max="3083" width="13.88671875" style="260" bestFit="1" customWidth="1"/>
    <col min="3084" max="3084" width="12.6640625" style="260" customWidth="1"/>
    <col min="3085" max="3085" width="12.6640625" style="260" bestFit="1" customWidth="1"/>
    <col min="3086" max="3086" width="14.109375" style="260" bestFit="1" customWidth="1"/>
    <col min="3087" max="3087" width="8.88671875" style="260"/>
    <col min="3088" max="3088" width="15.88671875" style="260" customWidth="1"/>
    <col min="3089" max="3328" width="8.88671875" style="260"/>
    <col min="3329" max="3329" width="8.6640625" style="260" customWidth="1"/>
    <col min="3330" max="3330" width="7.88671875" style="260" customWidth="1"/>
    <col min="3331" max="3331" width="19.109375" style="260" bestFit="1" customWidth="1"/>
    <col min="3332" max="3333" width="13.77734375" style="260" customWidth="1"/>
    <col min="3334" max="3334" width="0" style="260" hidden="1" customWidth="1"/>
    <col min="3335" max="3335" width="13.77734375" style="260" customWidth="1"/>
    <col min="3336" max="3336" width="62.44140625" style="260" bestFit="1" customWidth="1"/>
    <col min="3337" max="3337" width="10.6640625" style="260" customWidth="1"/>
    <col min="3338" max="3338" width="20.109375" style="260" customWidth="1"/>
    <col min="3339" max="3339" width="13.88671875" style="260" bestFit="1" customWidth="1"/>
    <col min="3340" max="3340" width="12.6640625" style="260" customWidth="1"/>
    <col min="3341" max="3341" width="12.6640625" style="260" bestFit="1" customWidth="1"/>
    <col min="3342" max="3342" width="14.109375" style="260" bestFit="1" customWidth="1"/>
    <col min="3343" max="3343" width="8.88671875" style="260"/>
    <col min="3344" max="3344" width="15.88671875" style="260" customWidth="1"/>
    <col min="3345" max="3584" width="8.88671875" style="260"/>
    <col min="3585" max="3585" width="8.6640625" style="260" customWidth="1"/>
    <col min="3586" max="3586" width="7.88671875" style="260" customWidth="1"/>
    <col min="3587" max="3587" width="19.109375" style="260" bestFit="1" customWidth="1"/>
    <col min="3588" max="3589" width="13.77734375" style="260" customWidth="1"/>
    <col min="3590" max="3590" width="0" style="260" hidden="1" customWidth="1"/>
    <col min="3591" max="3591" width="13.77734375" style="260" customWidth="1"/>
    <col min="3592" max="3592" width="62.44140625" style="260" bestFit="1" customWidth="1"/>
    <col min="3593" max="3593" width="10.6640625" style="260" customWidth="1"/>
    <col min="3594" max="3594" width="20.109375" style="260" customWidth="1"/>
    <col min="3595" max="3595" width="13.88671875" style="260" bestFit="1" customWidth="1"/>
    <col min="3596" max="3596" width="12.6640625" style="260" customWidth="1"/>
    <col min="3597" max="3597" width="12.6640625" style="260" bestFit="1" customWidth="1"/>
    <col min="3598" max="3598" width="14.109375" style="260" bestFit="1" customWidth="1"/>
    <col min="3599" max="3599" width="8.88671875" style="260"/>
    <col min="3600" max="3600" width="15.88671875" style="260" customWidth="1"/>
    <col min="3601" max="3840" width="8.88671875" style="260"/>
    <col min="3841" max="3841" width="8.6640625" style="260" customWidth="1"/>
    <col min="3842" max="3842" width="7.88671875" style="260" customWidth="1"/>
    <col min="3843" max="3843" width="19.109375" style="260" bestFit="1" customWidth="1"/>
    <col min="3844" max="3845" width="13.77734375" style="260" customWidth="1"/>
    <col min="3846" max="3846" width="0" style="260" hidden="1" customWidth="1"/>
    <col min="3847" max="3847" width="13.77734375" style="260" customWidth="1"/>
    <col min="3848" max="3848" width="62.44140625" style="260" bestFit="1" customWidth="1"/>
    <col min="3849" max="3849" width="10.6640625" style="260" customWidth="1"/>
    <col min="3850" max="3850" width="20.109375" style="260" customWidth="1"/>
    <col min="3851" max="3851" width="13.88671875" style="260" bestFit="1" customWidth="1"/>
    <col min="3852" max="3852" width="12.6640625" style="260" customWidth="1"/>
    <col min="3853" max="3853" width="12.6640625" style="260" bestFit="1" customWidth="1"/>
    <col min="3854" max="3854" width="14.109375" style="260" bestFit="1" customWidth="1"/>
    <col min="3855" max="3855" width="8.88671875" style="260"/>
    <col min="3856" max="3856" width="15.88671875" style="260" customWidth="1"/>
    <col min="3857" max="4096" width="8.88671875" style="260"/>
    <col min="4097" max="4097" width="8.6640625" style="260" customWidth="1"/>
    <col min="4098" max="4098" width="7.88671875" style="260" customWidth="1"/>
    <col min="4099" max="4099" width="19.109375" style="260" bestFit="1" customWidth="1"/>
    <col min="4100" max="4101" width="13.77734375" style="260" customWidth="1"/>
    <col min="4102" max="4102" width="0" style="260" hidden="1" customWidth="1"/>
    <col min="4103" max="4103" width="13.77734375" style="260" customWidth="1"/>
    <col min="4104" max="4104" width="62.44140625" style="260" bestFit="1" customWidth="1"/>
    <col min="4105" max="4105" width="10.6640625" style="260" customWidth="1"/>
    <col min="4106" max="4106" width="20.109375" style="260" customWidth="1"/>
    <col min="4107" max="4107" width="13.88671875" style="260" bestFit="1" customWidth="1"/>
    <col min="4108" max="4108" width="12.6640625" style="260" customWidth="1"/>
    <col min="4109" max="4109" width="12.6640625" style="260" bestFit="1" customWidth="1"/>
    <col min="4110" max="4110" width="14.109375" style="260" bestFit="1" customWidth="1"/>
    <col min="4111" max="4111" width="8.88671875" style="260"/>
    <col min="4112" max="4112" width="15.88671875" style="260" customWidth="1"/>
    <col min="4113" max="4352" width="8.88671875" style="260"/>
    <col min="4353" max="4353" width="8.6640625" style="260" customWidth="1"/>
    <col min="4354" max="4354" width="7.88671875" style="260" customWidth="1"/>
    <col min="4355" max="4355" width="19.109375" style="260" bestFit="1" customWidth="1"/>
    <col min="4356" max="4357" width="13.77734375" style="260" customWidth="1"/>
    <col min="4358" max="4358" width="0" style="260" hidden="1" customWidth="1"/>
    <col min="4359" max="4359" width="13.77734375" style="260" customWidth="1"/>
    <col min="4360" max="4360" width="62.44140625" style="260" bestFit="1" customWidth="1"/>
    <col min="4361" max="4361" width="10.6640625" style="260" customWidth="1"/>
    <col min="4362" max="4362" width="20.109375" style="260" customWidth="1"/>
    <col min="4363" max="4363" width="13.88671875" style="260" bestFit="1" customWidth="1"/>
    <col min="4364" max="4364" width="12.6640625" style="260" customWidth="1"/>
    <col min="4365" max="4365" width="12.6640625" style="260" bestFit="1" customWidth="1"/>
    <col min="4366" max="4366" width="14.109375" style="260" bestFit="1" customWidth="1"/>
    <col min="4367" max="4367" width="8.88671875" style="260"/>
    <col min="4368" max="4368" width="15.88671875" style="260" customWidth="1"/>
    <col min="4369" max="4608" width="8.88671875" style="260"/>
    <col min="4609" max="4609" width="8.6640625" style="260" customWidth="1"/>
    <col min="4610" max="4610" width="7.88671875" style="260" customWidth="1"/>
    <col min="4611" max="4611" width="19.109375" style="260" bestFit="1" customWidth="1"/>
    <col min="4612" max="4613" width="13.77734375" style="260" customWidth="1"/>
    <col min="4614" max="4614" width="0" style="260" hidden="1" customWidth="1"/>
    <col min="4615" max="4615" width="13.77734375" style="260" customWidth="1"/>
    <col min="4616" max="4616" width="62.44140625" style="260" bestFit="1" customWidth="1"/>
    <col min="4617" max="4617" width="10.6640625" style="260" customWidth="1"/>
    <col min="4618" max="4618" width="20.109375" style="260" customWidth="1"/>
    <col min="4619" max="4619" width="13.88671875" style="260" bestFit="1" customWidth="1"/>
    <col min="4620" max="4620" width="12.6640625" style="260" customWidth="1"/>
    <col min="4621" max="4621" width="12.6640625" style="260" bestFit="1" customWidth="1"/>
    <col min="4622" max="4622" width="14.109375" style="260" bestFit="1" customWidth="1"/>
    <col min="4623" max="4623" width="8.88671875" style="260"/>
    <col min="4624" max="4624" width="15.88671875" style="260" customWidth="1"/>
    <col min="4625" max="4864" width="8.88671875" style="260"/>
    <col min="4865" max="4865" width="8.6640625" style="260" customWidth="1"/>
    <col min="4866" max="4866" width="7.88671875" style="260" customWidth="1"/>
    <col min="4867" max="4867" width="19.109375" style="260" bestFit="1" customWidth="1"/>
    <col min="4868" max="4869" width="13.77734375" style="260" customWidth="1"/>
    <col min="4870" max="4870" width="0" style="260" hidden="1" customWidth="1"/>
    <col min="4871" max="4871" width="13.77734375" style="260" customWidth="1"/>
    <col min="4872" max="4872" width="62.44140625" style="260" bestFit="1" customWidth="1"/>
    <col min="4873" max="4873" width="10.6640625" style="260" customWidth="1"/>
    <col min="4874" max="4874" width="20.109375" style="260" customWidth="1"/>
    <col min="4875" max="4875" width="13.88671875" style="260" bestFit="1" customWidth="1"/>
    <col min="4876" max="4876" width="12.6640625" style="260" customWidth="1"/>
    <col min="4877" max="4877" width="12.6640625" style="260" bestFit="1" customWidth="1"/>
    <col min="4878" max="4878" width="14.109375" style="260" bestFit="1" customWidth="1"/>
    <col min="4879" max="4879" width="8.88671875" style="260"/>
    <col min="4880" max="4880" width="15.88671875" style="260" customWidth="1"/>
    <col min="4881" max="5120" width="8.88671875" style="260"/>
    <col min="5121" max="5121" width="8.6640625" style="260" customWidth="1"/>
    <col min="5122" max="5122" width="7.88671875" style="260" customWidth="1"/>
    <col min="5123" max="5123" width="19.109375" style="260" bestFit="1" customWidth="1"/>
    <col min="5124" max="5125" width="13.77734375" style="260" customWidth="1"/>
    <col min="5126" max="5126" width="0" style="260" hidden="1" customWidth="1"/>
    <col min="5127" max="5127" width="13.77734375" style="260" customWidth="1"/>
    <col min="5128" max="5128" width="62.44140625" style="260" bestFit="1" customWidth="1"/>
    <col min="5129" max="5129" width="10.6640625" style="260" customWidth="1"/>
    <col min="5130" max="5130" width="20.109375" style="260" customWidth="1"/>
    <col min="5131" max="5131" width="13.88671875" style="260" bestFit="1" customWidth="1"/>
    <col min="5132" max="5132" width="12.6640625" style="260" customWidth="1"/>
    <col min="5133" max="5133" width="12.6640625" style="260" bestFit="1" customWidth="1"/>
    <col min="5134" max="5134" width="14.109375" style="260" bestFit="1" customWidth="1"/>
    <col min="5135" max="5135" width="8.88671875" style="260"/>
    <col min="5136" max="5136" width="15.88671875" style="260" customWidth="1"/>
    <col min="5137" max="5376" width="8.88671875" style="260"/>
    <col min="5377" max="5377" width="8.6640625" style="260" customWidth="1"/>
    <col min="5378" max="5378" width="7.88671875" style="260" customWidth="1"/>
    <col min="5379" max="5379" width="19.109375" style="260" bestFit="1" customWidth="1"/>
    <col min="5380" max="5381" width="13.77734375" style="260" customWidth="1"/>
    <col min="5382" max="5382" width="0" style="260" hidden="1" customWidth="1"/>
    <col min="5383" max="5383" width="13.77734375" style="260" customWidth="1"/>
    <col min="5384" max="5384" width="62.44140625" style="260" bestFit="1" customWidth="1"/>
    <col min="5385" max="5385" width="10.6640625" style="260" customWidth="1"/>
    <col min="5386" max="5386" width="20.109375" style="260" customWidth="1"/>
    <col min="5387" max="5387" width="13.88671875" style="260" bestFit="1" customWidth="1"/>
    <col min="5388" max="5388" width="12.6640625" style="260" customWidth="1"/>
    <col min="5389" max="5389" width="12.6640625" style="260" bestFit="1" customWidth="1"/>
    <col min="5390" max="5390" width="14.109375" style="260" bestFit="1" customWidth="1"/>
    <col min="5391" max="5391" width="8.88671875" style="260"/>
    <col min="5392" max="5392" width="15.88671875" style="260" customWidth="1"/>
    <col min="5393" max="5632" width="8.88671875" style="260"/>
    <col min="5633" max="5633" width="8.6640625" style="260" customWidth="1"/>
    <col min="5634" max="5634" width="7.88671875" style="260" customWidth="1"/>
    <col min="5635" max="5635" width="19.109375" style="260" bestFit="1" customWidth="1"/>
    <col min="5636" max="5637" width="13.77734375" style="260" customWidth="1"/>
    <col min="5638" max="5638" width="0" style="260" hidden="1" customWidth="1"/>
    <col min="5639" max="5639" width="13.77734375" style="260" customWidth="1"/>
    <col min="5640" max="5640" width="62.44140625" style="260" bestFit="1" customWidth="1"/>
    <col min="5641" max="5641" width="10.6640625" style="260" customWidth="1"/>
    <col min="5642" max="5642" width="20.109375" style="260" customWidth="1"/>
    <col min="5643" max="5643" width="13.88671875" style="260" bestFit="1" customWidth="1"/>
    <col min="5644" max="5644" width="12.6640625" style="260" customWidth="1"/>
    <col min="5645" max="5645" width="12.6640625" style="260" bestFit="1" customWidth="1"/>
    <col min="5646" max="5646" width="14.109375" style="260" bestFit="1" customWidth="1"/>
    <col min="5647" max="5647" width="8.88671875" style="260"/>
    <col min="5648" max="5648" width="15.88671875" style="260" customWidth="1"/>
    <col min="5649" max="5888" width="8.88671875" style="260"/>
    <col min="5889" max="5889" width="8.6640625" style="260" customWidth="1"/>
    <col min="5890" max="5890" width="7.88671875" style="260" customWidth="1"/>
    <col min="5891" max="5891" width="19.109375" style="260" bestFit="1" customWidth="1"/>
    <col min="5892" max="5893" width="13.77734375" style="260" customWidth="1"/>
    <col min="5894" max="5894" width="0" style="260" hidden="1" customWidth="1"/>
    <col min="5895" max="5895" width="13.77734375" style="260" customWidth="1"/>
    <col min="5896" max="5896" width="62.44140625" style="260" bestFit="1" customWidth="1"/>
    <col min="5897" max="5897" width="10.6640625" style="260" customWidth="1"/>
    <col min="5898" max="5898" width="20.109375" style="260" customWidth="1"/>
    <col min="5899" max="5899" width="13.88671875" style="260" bestFit="1" customWidth="1"/>
    <col min="5900" max="5900" width="12.6640625" style="260" customWidth="1"/>
    <col min="5901" max="5901" width="12.6640625" style="260" bestFit="1" customWidth="1"/>
    <col min="5902" max="5902" width="14.109375" style="260" bestFit="1" customWidth="1"/>
    <col min="5903" max="5903" width="8.88671875" style="260"/>
    <col min="5904" max="5904" width="15.88671875" style="260" customWidth="1"/>
    <col min="5905" max="6144" width="8.88671875" style="260"/>
    <col min="6145" max="6145" width="8.6640625" style="260" customWidth="1"/>
    <col min="6146" max="6146" width="7.88671875" style="260" customWidth="1"/>
    <col min="6147" max="6147" width="19.109375" style="260" bestFit="1" customWidth="1"/>
    <col min="6148" max="6149" width="13.77734375" style="260" customWidth="1"/>
    <col min="6150" max="6150" width="0" style="260" hidden="1" customWidth="1"/>
    <col min="6151" max="6151" width="13.77734375" style="260" customWidth="1"/>
    <col min="6152" max="6152" width="62.44140625" style="260" bestFit="1" customWidth="1"/>
    <col min="6153" max="6153" width="10.6640625" style="260" customWidth="1"/>
    <col min="6154" max="6154" width="20.109375" style="260" customWidth="1"/>
    <col min="6155" max="6155" width="13.88671875" style="260" bestFit="1" customWidth="1"/>
    <col min="6156" max="6156" width="12.6640625" style="260" customWidth="1"/>
    <col min="6157" max="6157" width="12.6640625" style="260" bestFit="1" customWidth="1"/>
    <col min="6158" max="6158" width="14.109375" style="260" bestFit="1" customWidth="1"/>
    <col min="6159" max="6159" width="8.88671875" style="260"/>
    <col min="6160" max="6160" width="15.88671875" style="260" customWidth="1"/>
    <col min="6161" max="6400" width="8.88671875" style="260"/>
    <col min="6401" max="6401" width="8.6640625" style="260" customWidth="1"/>
    <col min="6402" max="6402" width="7.88671875" style="260" customWidth="1"/>
    <col min="6403" max="6403" width="19.109375" style="260" bestFit="1" customWidth="1"/>
    <col min="6404" max="6405" width="13.77734375" style="260" customWidth="1"/>
    <col min="6406" max="6406" width="0" style="260" hidden="1" customWidth="1"/>
    <col min="6407" max="6407" width="13.77734375" style="260" customWidth="1"/>
    <col min="6408" max="6408" width="62.44140625" style="260" bestFit="1" customWidth="1"/>
    <col min="6409" max="6409" width="10.6640625" style="260" customWidth="1"/>
    <col min="6410" max="6410" width="20.109375" style="260" customWidth="1"/>
    <col min="6411" max="6411" width="13.88671875" style="260" bestFit="1" customWidth="1"/>
    <col min="6412" max="6412" width="12.6640625" style="260" customWidth="1"/>
    <col min="6413" max="6413" width="12.6640625" style="260" bestFit="1" customWidth="1"/>
    <col min="6414" max="6414" width="14.109375" style="260" bestFit="1" customWidth="1"/>
    <col min="6415" max="6415" width="8.88671875" style="260"/>
    <col min="6416" max="6416" width="15.88671875" style="260" customWidth="1"/>
    <col min="6417" max="6656" width="8.88671875" style="260"/>
    <col min="6657" max="6657" width="8.6640625" style="260" customWidth="1"/>
    <col min="6658" max="6658" width="7.88671875" style="260" customWidth="1"/>
    <col min="6659" max="6659" width="19.109375" style="260" bestFit="1" customWidth="1"/>
    <col min="6660" max="6661" width="13.77734375" style="260" customWidth="1"/>
    <col min="6662" max="6662" width="0" style="260" hidden="1" customWidth="1"/>
    <col min="6663" max="6663" width="13.77734375" style="260" customWidth="1"/>
    <col min="6664" max="6664" width="62.44140625" style="260" bestFit="1" customWidth="1"/>
    <col min="6665" max="6665" width="10.6640625" style="260" customWidth="1"/>
    <col min="6666" max="6666" width="20.109375" style="260" customWidth="1"/>
    <col min="6667" max="6667" width="13.88671875" style="260" bestFit="1" customWidth="1"/>
    <col min="6668" max="6668" width="12.6640625" style="260" customWidth="1"/>
    <col min="6669" max="6669" width="12.6640625" style="260" bestFit="1" customWidth="1"/>
    <col min="6670" max="6670" width="14.109375" style="260" bestFit="1" customWidth="1"/>
    <col min="6671" max="6671" width="8.88671875" style="260"/>
    <col min="6672" max="6672" width="15.88671875" style="260" customWidth="1"/>
    <col min="6673" max="6912" width="8.88671875" style="260"/>
    <col min="6913" max="6913" width="8.6640625" style="260" customWidth="1"/>
    <col min="6914" max="6914" width="7.88671875" style="260" customWidth="1"/>
    <col min="6915" max="6915" width="19.109375" style="260" bestFit="1" customWidth="1"/>
    <col min="6916" max="6917" width="13.77734375" style="260" customWidth="1"/>
    <col min="6918" max="6918" width="0" style="260" hidden="1" customWidth="1"/>
    <col min="6919" max="6919" width="13.77734375" style="260" customWidth="1"/>
    <col min="6920" max="6920" width="62.44140625" style="260" bestFit="1" customWidth="1"/>
    <col min="6921" max="6921" width="10.6640625" style="260" customWidth="1"/>
    <col min="6922" max="6922" width="20.109375" style="260" customWidth="1"/>
    <col min="6923" max="6923" width="13.88671875" style="260" bestFit="1" customWidth="1"/>
    <col min="6924" max="6924" width="12.6640625" style="260" customWidth="1"/>
    <col min="6925" max="6925" width="12.6640625" style="260" bestFit="1" customWidth="1"/>
    <col min="6926" max="6926" width="14.109375" style="260" bestFit="1" customWidth="1"/>
    <col min="6927" max="6927" width="8.88671875" style="260"/>
    <col min="6928" max="6928" width="15.88671875" style="260" customWidth="1"/>
    <col min="6929" max="7168" width="8.88671875" style="260"/>
    <col min="7169" max="7169" width="8.6640625" style="260" customWidth="1"/>
    <col min="7170" max="7170" width="7.88671875" style="260" customWidth="1"/>
    <col min="7171" max="7171" width="19.109375" style="260" bestFit="1" customWidth="1"/>
    <col min="7172" max="7173" width="13.77734375" style="260" customWidth="1"/>
    <col min="7174" max="7174" width="0" style="260" hidden="1" customWidth="1"/>
    <col min="7175" max="7175" width="13.77734375" style="260" customWidth="1"/>
    <col min="7176" max="7176" width="62.44140625" style="260" bestFit="1" customWidth="1"/>
    <col min="7177" max="7177" width="10.6640625" style="260" customWidth="1"/>
    <col min="7178" max="7178" width="20.109375" style="260" customWidth="1"/>
    <col min="7179" max="7179" width="13.88671875" style="260" bestFit="1" customWidth="1"/>
    <col min="7180" max="7180" width="12.6640625" style="260" customWidth="1"/>
    <col min="7181" max="7181" width="12.6640625" style="260" bestFit="1" customWidth="1"/>
    <col min="7182" max="7182" width="14.109375" style="260" bestFit="1" customWidth="1"/>
    <col min="7183" max="7183" width="8.88671875" style="260"/>
    <col min="7184" max="7184" width="15.88671875" style="260" customWidth="1"/>
    <col min="7185" max="7424" width="8.88671875" style="260"/>
    <col min="7425" max="7425" width="8.6640625" style="260" customWidth="1"/>
    <col min="7426" max="7426" width="7.88671875" style="260" customWidth="1"/>
    <col min="7427" max="7427" width="19.109375" style="260" bestFit="1" customWidth="1"/>
    <col min="7428" max="7429" width="13.77734375" style="260" customWidth="1"/>
    <col min="7430" max="7430" width="0" style="260" hidden="1" customWidth="1"/>
    <col min="7431" max="7431" width="13.77734375" style="260" customWidth="1"/>
    <col min="7432" max="7432" width="62.44140625" style="260" bestFit="1" customWidth="1"/>
    <col min="7433" max="7433" width="10.6640625" style="260" customWidth="1"/>
    <col min="7434" max="7434" width="20.109375" style="260" customWidth="1"/>
    <col min="7435" max="7435" width="13.88671875" style="260" bestFit="1" customWidth="1"/>
    <col min="7436" max="7436" width="12.6640625" style="260" customWidth="1"/>
    <col min="7437" max="7437" width="12.6640625" style="260" bestFit="1" customWidth="1"/>
    <col min="7438" max="7438" width="14.109375" style="260" bestFit="1" customWidth="1"/>
    <col min="7439" max="7439" width="8.88671875" style="260"/>
    <col min="7440" max="7440" width="15.88671875" style="260" customWidth="1"/>
    <col min="7441" max="7680" width="8.88671875" style="260"/>
    <col min="7681" max="7681" width="8.6640625" style="260" customWidth="1"/>
    <col min="7682" max="7682" width="7.88671875" style="260" customWidth="1"/>
    <col min="7683" max="7683" width="19.109375" style="260" bestFit="1" customWidth="1"/>
    <col min="7684" max="7685" width="13.77734375" style="260" customWidth="1"/>
    <col min="7686" max="7686" width="0" style="260" hidden="1" customWidth="1"/>
    <col min="7687" max="7687" width="13.77734375" style="260" customWidth="1"/>
    <col min="7688" max="7688" width="62.44140625" style="260" bestFit="1" customWidth="1"/>
    <col min="7689" max="7689" width="10.6640625" style="260" customWidth="1"/>
    <col min="7690" max="7690" width="20.109375" style="260" customWidth="1"/>
    <col min="7691" max="7691" width="13.88671875" style="260" bestFit="1" customWidth="1"/>
    <col min="7692" max="7692" width="12.6640625" style="260" customWidth="1"/>
    <col min="7693" max="7693" width="12.6640625" style="260" bestFit="1" customWidth="1"/>
    <col min="7694" max="7694" width="14.109375" style="260" bestFit="1" customWidth="1"/>
    <col min="7695" max="7695" width="8.88671875" style="260"/>
    <col min="7696" max="7696" width="15.88671875" style="260" customWidth="1"/>
    <col min="7697" max="7936" width="8.88671875" style="260"/>
    <col min="7937" max="7937" width="8.6640625" style="260" customWidth="1"/>
    <col min="7938" max="7938" width="7.88671875" style="260" customWidth="1"/>
    <col min="7939" max="7939" width="19.109375" style="260" bestFit="1" customWidth="1"/>
    <col min="7940" max="7941" width="13.77734375" style="260" customWidth="1"/>
    <col min="7942" max="7942" width="0" style="260" hidden="1" customWidth="1"/>
    <col min="7943" max="7943" width="13.77734375" style="260" customWidth="1"/>
    <col min="7944" max="7944" width="62.44140625" style="260" bestFit="1" customWidth="1"/>
    <col min="7945" max="7945" width="10.6640625" style="260" customWidth="1"/>
    <col min="7946" max="7946" width="20.109375" style="260" customWidth="1"/>
    <col min="7947" max="7947" width="13.88671875" style="260" bestFit="1" customWidth="1"/>
    <col min="7948" max="7948" width="12.6640625" style="260" customWidth="1"/>
    <col min="7949" max="7949" width="12.6640625" style="260" bestFit="1" customWidth="1"/>
    <col min="7950" max="7950" width="14.109375" style="260" bestFit="1" customWidth="1"/>
    <col min="7951" max="7951" width="8.88671875" style="260"/>
    <col min="7952" max="7952" width="15.88671875" style="260" customWidth="1"/>
    <col min="7953" max="8192" width="8.88671875" style="260"/>
    <col min="8193" max="8193" width="8.6640625" style="260" customWidth="1"/>
    <col min="8194" max="8194" width="7.88671875" style="260" customWidth="1"/>
    <col min="8195" max="8195" width="19.109375" style="260" bestFit="1" customWidth="1"/>
    <col min="8196" max="8197" width="13.77734375" style="260" customWidth="1"/>
    <col min="8198" max="8198" width="0" style="260" hidden="1" customWidth="1"/>
    <col min="8199" max="8199" width="13.77734375" style="260" customWidth="1"/>
    <col min="8200" max="8200" width="62.44140625" style="260" bestFit="1" customWidth="1"/>
    <col min="8201" max="8201" width="10.6640625" style="260" customWidth="1"/>
    <col min="8202" max="8202" width="20.109375" style="260" customWidth="1"/>
    <col min="8203" max="8203" width="13.88671875" style="260" bestFit="1" customWidth="1"/>
    <col min="8204" max="8204" width="12.6640625" style="260" customWidth="1"/>
    <col min="8205" max="8205" width="12.6640625" style="260" bestFit="1" customWidth="1"/>
    <col min="8206" max="8206" width="14.109375" style="260" bestFit="1" customWidth="1"/>
    <col min="8207" max="8207" width="8.88671875" style="260"/>
    <col min="8208" max="8208" width="15.88671875" style="260" customWidth="1"/>
    <col min="8209" max="8448" width="8.88671875" style="260"/>
    <col min="8449" max="8449" width="8.6640625" style="260" customWidth="1"/>
    <col min="8450" max="8450" width="7.88671875" style="260" customWidth="1"/>
    <col min="8451" max="8451" width="19.109375" style="260" bestFit="1" customWidth="1"/>
    <col min="8452" max="8453" width="13.77734375" style="260" customWidth="1"/>
    <col min="8454" max="8454" width="0" style="260" hidden="1" customWidth="1"/>
    <col min="8455" max="8455" width="13.77734375" style="260" customWidth="1"/>
    <col min="8456" max="8456" width="62.44140625" style="260" bestFit="1" customWidth="1"/>
    <col min="8457" max="8457" width="10.6640625" style="260" customWidth="1"/>
    <col min="8458" max="8458" width="20.109375" style="260" customWidth="1"/>
    <col min="8459" max="8459" width="13.88671875" style="260" bestFit="1" customWidth="1"/>
    <col min="8460" max="8460" width="12.6640625" style="260" customWidth="1"/>
    <col min="8461" max="8461" width="12.6640625" style="260" bestFit="1" customWidth="1"/>
    <col min="8462" max="8462" width="14.109375" style="260" bestFit="1" customWidth="1"/>
    <col min="8463" max="8463" width="8.88671875" style="260"/>
    <col min="8464" max="8464" width="15.88671875" style="260" customWidth="1"/>
    <col min="8465" max="8704" width="8.88671875" style="260"/>
    <col min="8705" max="8705" width="8.6640625" style="260" customWidth="1"/>
    <col min="8706" max="8706" width="7.88671875" style="260" customWidth="1"/>
    <col min="8707" max="8707" width="19.109375" style="260" bestFit="1" customWidth="1"/>
    <col min="8708" max="8709" width="13.77734375" style="260" customWidth="1"/>
    <col min="8710" max="8710" width="0" style="260" hidden="1" customWidth="1"/>
    <col min="8711" max="8711" width="13.77734375" style="260" customWidth="1"/>
    <col min="8712" max="8712" width="62.44140625" style="260" bestFit="1" customWidth="1"/>
    <col min="8713" max="8713" width="10.6640625" style="260" customWidth="1"/>
    <col min="8714" max="8714" width="20.109375" style="260" customWidth="1"/>
    <col min="8715" max="8715" width="13.88671875" style="260" bestFit="1" customWidth="1"/>
    <col min="8716" max="8716" width="12.6640625" style="260" customWidth="1"/>
    <col min="8717" max="8717" width="12.6640625" style="260" bestFit="1" customWidth="1"/>
    <col min="8718" max="8718" width="14.109375" style="260" bestFit="1" customWidth="1"/>
    <col min="8719" max="8719" width="8.88671875" style="260"/>
    <col min="8720" max="8720" width="15.88671875" style="260" customWidth="1"/>
    <col min="8721" max="8960" width="8.88671875" style="260"/>
    <col min="8961" max="8961" width="8.6640625" style="260" customWidth="1"/>
    <col min="8962" max="8962" width="7.88671875" style="260" customWidth="1"/>
    <col min="8963" max="8963" width="19.109375" style="260" bestFit="1" customWidth="1"/>
    <col min="8964" max="8965" width="13.77734375" style="260" customWidth="1"/>
    <col min="8966" max="8966" width="0" style="260" hidden="1" customWidth="1"/>
    <col min="8967" max="8967" width="13.77734375" style="260" customWidth="1"/>
    <col min="8968" max="8968" width="62.44140625" style="260" bestFit="1" customWidth="1"/>
    <col min="8969" max="8969" width="10.6640625" style="260" customWidth="1"/>
    <col min="8970" max="8970" width="20.109375" style="260" customWidth="1"/>
    <col min="8971" max="8971" width="13.88671875" style="260" bestFit="1" customWidth="1"/>
    <col min="8972" max="8972" width="12.6640625" style="260" customWidth="1"/>
    <col min="8973" max="8973" width="12.6640625" style="260" bestFit="1" customWidth="1"/>
    <col min="8974" max="8974" width="14.109375" style="260" bestFit="1" customWidth="1"/>
    <col min="8975" max="8975" width="8.88671875" style="260"/>
    <col min="8976" max="8976" width="15.88671875" style="260" customWidth="1"/>
    <col min="8977" max="9216" width="8.88671875" style="260"/>
    <col min="9217" max="9217" width="8.6640625" style="260" customWidth="1"/>
    <col min="9218" max="9218" width="7.88671875" style="260" customWidth="1"/>
    <col min="9219" max="9219" width="19.109375" style="260" bestFit="1" customWidth="1"/>
    <col min="9220" max="9221" width="13.77734375" style="260" customWidth="1"/>
    <col min="9222" max="9222" width="0" style="260" hidden="1" customWidth="1"/>
    <col min="9223" max="9223" width="13.77734375" style="260" customWidth="1"/>
    <col min="9224" max="9224" width="62.44140625" style="260" bestFit="1" customWidth="1"/>
    <col min="9225" max="9225" width="10.6640625" style="260" customWidth="1"/>
    <col min="9226" max="9226" width="20.109375" style="260" customWidth="1"/>
    <col min="9227" max="9227" width="13.88671875" style="260" bestFit="1" customWidth="1"/>
    <col min="9228" max="9228" width="12.6640625" style="260" customWidth="1"/>
    <col min="9229" max="9229" width="12.6640625" style="260" bestFit="1" customWidth="1"/>
    <col min="9230" max="9230" width="14.109375" style="260" bestFit="1" customWidth="1"/>
    <col min="9231" max="9231" width="8.88671875" style="260"/>
    <col min="9232" max="9232" width="15.88671875" style="260" customWidth="1"/>
    <col min="9233" max="9472" width="8.88671875" style="260"/>
    <col min="9473" max="9473" width="8.6640625" style="260" customWidth="1"/>
    <col min="9474" max="9474" width="7.88671875" style="260" customWidth="1"/>
    <col min="9475" max="9475" width="19.109375" style="260" bestFit="1" customWidth="1"/>
    <col min="9476" max="9477" width="13.77734375" style="260" customWidth="1"/>
    <col min="9478" max="9478" width="0" style="260" hidden="1" customWidth="1"/>
    <col min="9479" max="9479" width="13.77734375" style="260" customWidth="1"/>
    <col min="9480" max="9480" width="62.44140625" style="260" bestFit="1" customWidth="1"/>
    <col min="9481" max="9481" width="10.6640625" style="260" customWidth="1"/>
    <col min="9482" max="9482" width="20.109375" style="260" customWidth="1"/>
    <col min="9483" max="9483" width="13.88671875" style="260" bestFit="1" customWidth="1"/>
    <col min="9484" max="9484" width="12.6640625" style="260" customWidth="1"/>
    <col min="9485" max="9485" width="12.6640625" style="260" bestFit="1" customWidth="1"/>
    <col min="9486" max="9486" width="14.109375" style="260" bestFit="1" customWidth="1"/>
    <col min="9487" max="9487" width="8.88671875" style="260"/>
    <col min="9488" max="9488" width="15.88671875" style="260" customWidth="1"/>
    <col min="9489" max="9728" width="8.88671875" style="260"/>
    <col min="9729" max="9729" width="8.6640625" style="260" customWidth="1"/>
    <col min="9730" max="9730" width="7.88671875" style="260" customWidth="1"/>
    <col min="9731" max="9731" width="19.109375" style="260" bestFit="1" customWidth="1"/>
    <col min="9732" max="9733" width="13.77734375" style="260" customWidth="1"/>
    <col min="9734" max="9734" width="0" style="260" hidden="1" customWidth="1"/>
    <col min="9735" max="9735" width="13.77734375" style="260" customWidth="1"/>
    <col min="9736" max="9736" width="62.44140625" style="260" bestFit="1" customWidth="1"/>
    <col min="9737" max="9737" width="10.6640625" style="260" customWidth="1"/>
    <col min="9738" max="9738" width="20.109375" style="260" customWidth="1"/>
    <col min="9739" max="9739" width="13.88671875" style="260" bestFit="1" customWidth="1"/>
    <col min="9740" max="9740" width="12.6640625" style="260" customWidth="1"/>
    <col min="9741" max="9741" width="12.6640625" style="260" bestFit="1" customWidth="1"/>
    <col min="9742" max="9742" width="14.109375" style="260" bestFit="1" customWidth="1"/>
    <col min="9743" max="9743" width="8.88671875" style="260"/>
    <col min="9744" max="9744" width="15.88671875" style="260" customWidth="1"/>
    <col min="9745" max="9984" width="8.88671875" style="260"/>
    <col min="9985" max="9985" width="8.6640625" style="260" customWidth="1"/>
    <col min="9986" max="9986" width="7.88671875" style="260" customWidth="1"/>
    <col min="9987" max="9987" width="19.109375" style="260" bestFit="1" customWidth="1"/>
    <col min="9988" max="9989" width="13.77734375" style="260" customWidth="1"/>
    <col min="9990" max="9990" width="0" style="260" hidden="1" customWidth="1"/>
    <col min="9991" max="9991" width="13.77734375" style="260" customWidth="1"/>
    <col min="9992" max="9992" width="62.44140625" style="260" bestFit="1" customWidth="1"/>
    <col min="9993" max="9993" width="10.6640625" style="260" customWidth="1"/>
    <col min="9994" max="9994" width="20.109375" style="260" customWidth="1"/>
    <col min="9995" max="9995" width="13.88671875" style="260" bestFit="1" customWidth="1"/>
    <col min="9996" max="9996" width="12.6640625" style="260" customWidth="1"/>
    <col min="9997" max="9997" width="12.6640625" style="260" bestFit="1" customWidth="1"/>
    <col min="9998" max="9998" width="14.109375" style="260" bestFit="1" customWidth="1"/>
    <col min="9999" max="9999" width="8.88671875" style="260"/>
    <col min="10000" max="10000" width="15.88671875" style="260" customWidth="1"/>
    <col min="10001" max="10240" width="8.88671875" style="260"/>
    <col min="10241" max="10241" width="8.6640625" style="260" customWidth="1"/>
    <col min="10242" max="10242" width="7.88671875" style="260" customWidth="1"/>
    <col min="10243" max="10243" width="19.109375" style="260" bestFit="1" customWidth="1"/>
    <col min="10244" max="10245" width="13.77734375" style="260" customWidth="1"/>
    <col min="10246" max="10246" width="0" style="260" hidden="1" customWidth="1"/>
    <col min="10247" max="10247" width="13.77734375" style="260" customWidth="1"/>
    <col min="10248" max="10248" width="62.44140625" style="260" bestFit="1" customWidth="1"/>
    <col min="10249" max="10249" width="10.6640625" style="260" customWidth="1"/>
    <col min="10250" max="10250" width="20.109375" style="260" customWidth="1"/>
    <col min="10251" max="10251" width="13.88671875" style="260" bestFit="1" customWidth="1"/>
    <col min="10252" max="10252" width="12.6640625" style="260" customWidth="1"/>
    <col min="10253" max="10253" width="12.6640625" style="260" bestFit="1" customWidth="1"/>
    <col min="10254" max="10254" width="14.109375" style="260" bestFit="1" customWidth="1"/>
    <col min="10255" max="10255" width="8.88671875" style="260"/>
    <col min="10256" max="10256" width="15.88671875" style="260" customWidth="1"/>
    <col min="10257" max="10496" width="8.88671875" style="260"/>
    <col min="10497" max="10497" width="8.6640625" style="260" customWidth="1"/>
    <col min="10498" max="10498" width="7.88671875" style="260" customWidth="1"/>
    <col min="10499" max="10499" width="19.109375" style="260" bestFit="1" customWidth="1"/>
    <col min="10500" max="10501" width="13.77734375" style="260" customWidth="1"/>
    <col min="10502" max="10502" width="0" style="260" hidden="1" customWidth="1"/>
    <col min="10503" max="10503" width="13.77734375" style="260" customWidth="1"/>
    <col min="10504" max="10504" width="62.44140625" style="260" bestFit="1" customWidth="1"/>
    <col min="10505" max="10505" width="10.6640625" style="260" customWidth="1"/>
    <col min="10506" max="10506" width="20.109375" style="260" customWidth="1"/>
    <col min="10507" max="10507" width="13.88671875" style="260" bestFit="1" customWidth="1"/>
    <col min="10508" max="10508" width="12.6640625" style="260" customWidth="1"/>
    <col min="10509" max="10509" width="12.6640625" style="260" bestFit="1" customWidth="1"/>
    <col min="10510" max="10510" width="14.109375" style="260" bestFit="1" customWidth="1"/>
    <col min="10511" max="10511" width="8.88671875" style="260"/>
    <col min="10512" max="10512" width="15.88671875" style="260" customWidth="1"/>
    <col min="10513" max="10752" width="8.88671875" style="260"/>
    <col min="10753" max="10753" width="8.6640625" style="260" customWidth="1"/>
    <col min="10754" max="10754" width="7.88671875" style="260" customWidth="1"/>
    <col min="10755" max="10755" width="19.109375" style="260" bestFit="1" customWidth="1"/>
    <col min="10756" max="10757" width="13.77734375" style="260" customWidth="1"/>
    <col min="10758" max="10758" width="0" style="260" hidden="1" customWidth="1"/>
    <col min="10759" max="10759" width="13.77734375" style="260" customWidth="1"/>
    <col min="10760" max="10760" width="62.44140625" style="260" bestFit="1" customWidth="1"/>
    <col min="10761" max="10761" width="10.6640625" style="260" customWidth="1"/>
    <col min="10762" max="10762" width="20.109375" style="260" customWidth="1"/>
    <col min="10763" max="10763" width="13.88671875" style="260" bestFit="1" customWidth="1"/>
    <col min="10764" max="10764" width="12.6640625" style="260" customWidth="1"/>
    <col min="10765" max="10765" width="12.6640625" style="260" bestFit="1" customWidth="1"/>
    <col min="10766" max="10766" width="14.109375" style="260" bestFit="1" customWidth="1"/>
    <col min="10767" max="10767" width="8.88671875" style="260"/>
    <col min="10768" max="10768" width="15.88671875" style="260" customWidth="1"/>
    <col min="10769" max="11008" width="8.88671875" style="260"/>
    <col min="11009" max="11009" width="8.6640625" style="260" customWidth="1"/>
    <col min="11010" max="11010" width="7.88671875" style="260" customWidth="1"/>
    <col min="11011" max="11011" width="19.109375" style="260" bestFit="1" customWidth="1"/>
    <col min="11012" max="11013" width="13.77734375" style="260" customWidth="1"/>
    <col min="11014" max="11014" width="0" style="260" hidden="1" customWidth="1"/>
    <col min="11015" max="11015" width="13.77734375" style="260" customWidth="1"/>
    <col min="11016" max="11016" width="62.44140625" style="260" bestFit="1" customWidth="1"/>
    <col min="11017" max="11017" width="10.6640625" style="260" customWidth="1"/>
    <col min="11018" max="11018" width="20.109375" style="260" customWidth="1"/>
    <col min="11019" max="11019" width="13.88671875" style="260" bestFit="1" customWidth="1"/>
    <col min="11020" max="11020" width="12.6640625" style="260" customWidth="1"/>
    <col min="11021" max="11021" width="12.6640625" style="260" bestFit="1" customWidth="1"/>
    <col min="11022" max="11022" width="14.109375" style="260" bestFit="1" customWidth="1"/>
    <col min="11023" max="11023" width="8.88671875" style="260"/>
    <col min="11024" max="11024" width="15.88671875" style="260" customWidth="1"/>
    <col min="11025" max="11264" width="8.88671875" style="260"/>
    <col min="11265" max="11265" width="8.6640625" style="260" customWidth="1"/>
    <col min="11266" max="11266" width="7.88671875" style="260" customWidth="1"/>
    <col min="11267" max="11267" width="19.109375" style="260" bestFit="1" customWidth="1"/>
    <col min="11268" max="11269" width="13.77734375" style="260" customWidth="1"/>
    <col min="11270" max="11270" width="0" style="260" hidden="1" customWidth="1"/>
    <col min="11271" max="11271" width="13.77734375" style="260" customWidth="1"/>
    <col min="11272" max="11272" width="62.44140625" style="260" bestFit="1" customWidth="1"/>
    <col min="11273" max="11273" width="10.6640625" style="260" customWidth="1"/>
    <col min="11274" max="11274" width="20.109375" style="260" customWidth="1"/>
    <col min="11275" max="11275" width="13.88671875" style="260" bestFit="1" customWidth="1"/>
    <col min="11276" max="11276" width="12.6640625" style="260" customWidth="1"/>
    <col min="11277" max="11277" width="12.6640625" style="260" bestFit="1" customWidth="1"/>
    <col min="11278" max="11278" width="14.109375" style="260" bestFit="1" customWidth="1"/>
    <col min="11279" max="11279" width="8.88671875" style="260"/>
    <col min="11280" max="11280" width="15.88671875" style="260" customWidth="1"/>
    <col min="11281" max="11520" width="8.88671875" style="260"/>
    <col min="11521" max="11521" width="8.6640625" style="260" customWidth="1"/>
    <col min="11522" max="11522" width="7.88671875" style="260" customWidth="1"/>
    <col min="11523" max="11523" width="19.109375" style="260" bestFit="1" customWidth="1"/>
    <col min="11524" max="11525" width="13.77734375" style="260" customWidth="1"/>
    <col min="11526" max="11526" width="0" style="260" hidden="1" customWidth="1"/>
    <col min="11527" max="11527" width="13.77734375" style="260" customWidth="1"/>
    <col min="11528" max="11528" width="62.44140625" style="260" bestFit="1" customWidth="1"/>
    <col min="11529" max="11529" width="10.6640625" style="260" customWidth="1"/>
    <col min="11530" max="11530" width="20.109375" style="260" customWidth="1"/>
    <col min="11531" max="11531" width="13.88671875" style="260" bestFit="1" customWidth="1"/>
    <col min="11532" max="11532" width="12.6640625" style="260" customWidth="1"/>
    <col min="11533" max="11533" width="12.6640625" style="260" bestFit="1" customWidth="1"/>
    <col min="11534" max="11534" width="14.109375" style="260" bestFit="1" customWidth="1"/>
    <col min="11535" max="11535" width="8.88671875" style="260"/>
    <col min="11536" max="11536" width="15.88671875" style="260" customWidth="1"/>
    <col min="11537" max="11776" width="8.88671875" style="260"/>
    <col min="11777" max="11777" width="8.6640625" style="260" customWidth="1"/>
    <col min="11778" max="11778" width="7.88671875" style="260" customWidth="1"/>
    <col min="11779" max="11779" width="19.109375" style="260" bestFit="1" customWidth="1"/>
    <col min="11780" max="11781" width="13.77734375" style="260" customWidth="1"/>
    <col min="11782" max="11782" width="0" style="260" hidden="1" customWidth="1"/>
    <col min="11783" max="11783" width="13.77734375" style="260" customWidth="1"/>
    <col min="11784" max="11784" width="62.44140625" style="260" bestFit="1" customWidth="1"/>
    <col min="11785" max="11785" width="10.6640625" style="260" customWidth="1"/>
    <col min="11786" max="11786" width="20.109375" style="260" customWidth="1"/>
    <col min="11787" max="11787" width="13.88671875" style="260" bestFit="1" customWidth="1"/>
    <col min="11788" max="11788" width="12.6640625" style="260" customWidth="1"/>
    <col min="11789" max="11789" width="12.6640625" style="260" bestFit="1" customWidth="1"/>
    <col min="11790" max="11790" width="14.109375" style="260" bestFit="1" customWidth="1"/>
    <col min="11791" max="11791" width="8.88671875" style="260"/>
    <col min="11792" max="11792" width="15.88671875" style="260" customWidth="1"/>
    <col min="11793" max="12032" width="8.88671875" style="260"/>
    <col min="12033" max="12033" width="8.6640625" style="260" customWidth="1"/>
    <col min="12034" max="12034" width="7.88671875" style="260" customWidth="1"/>
    <col min="12035" max="12035" width="19.109375" style="260" bestFit="1" customWidth="1"/>
    <col min="12036" max="12037" width="13.77734375" style="260" customWidth="1"/>
    <col min="12038" max="12038" width="0" style="260" hidden="1" customWidth="1"/>
    <col min="12039" max="12039" width="13.77734375" style="260" customWidth="1"/>
    <col min="12040" max="12040" width="62.44140625" style="260" bestFit="1" customWidth="1"/>
    <col min="12041" max="12041" width="10.6640625" style="260" customWidth="1"/>
    <col min="12042" max="12042" width="20.109375" style="260" customWidth="1"/>
    <col min="12043" max="12043" width="13.88671875" style="260" bestFit="1" customWidth="1"/>
    <col min="12044" max="12044" width="12.6640625" style="260" customWidth="1"/>
    <col min="12045" max="12045" width="12.6640625" style="260" bestFit="1" customWidth="1"/>
    <col min="12046" max="12046" width="14.109375" style="260" bestFit="1" customWidth="1"/>
    <col min="12047" max="12047" width="8.88671875" style="260"/>
    <col min="12048" max="12048" width="15.88671875" style="260" customWidth="1"/>
    <col min="12049" max="12288" width="8.88671875" style="260"/>
    <col min="12289" max="12289" width="8.6640625" style="260" customWidth="1"/>
    <col min="12290" max="12290" width="7.88671875" style="260" customWidth="1"/>
    <col min="12291" max="12291" width="19.109375" style="260" bestFit="1" customWidth="1"/>
    <col min="12292" max="12293" width="13.77734375" style="260" customWidth="1"/>
    <col min="12294" max="12294" width="0" style="260" hidden="1" customWidth="1"/>
    <col min="12295" max="12295" width="13.77734375" style="260" customWidth="1"/>
    <col min="12296" max="12296" width="62.44140625" style="260" bestFit="1" customWidth="1"/>
    <col min="12297" max="12297" width="10.6640625" style="260" customWidth="1"/>
    <col min="12298" max="12298" width="20.109375" style="260" customWidth="1"/>
    <col min="12299" max="12299" width="13.88671875" style="260" bestFit="1" customWidth="1"/>
    <col min="12300" max="12300" width="12.6640625" style="260" customWidth="1"/>
    <col min="12301" max="12301" width="12.6640625" style="260" bestFit="1" customWidth="1"/>
    <col min="12302" max="12302" width="14.109375" style="260" bestFit="1" customWidth="1"/>
    <col min="12303" max="12303" width="8.88671875" style="260"/>
    <col min="12304" max="12304" width="15.88671875" style="260" customWidth="1"/>
    <col min="12305" max="12544" width="8.88671875" style="260"/>
    <col min="12545" max="12545" width="8.6640625" style="260" customWidth="1"/>
    <col min="12546" max="12546" width="7.88671875" style="260" customWidth="1"/>
    <col min="12547" max="12547" width="19.109375" style="260" bestFit="1" customWidth="1"/>
    <col min="12548" max="12549" width="13.77734375" style="260" customWidth="1"/>
    <col min="12550" max="12550" width="0" style="260" hidden="1" customWidth="1"/>
    <col min="12551" max="12551" width="13.77734375" style="260" customWidth="1"/>
    <col min="12552" max="12552" width="62.44140625" style="260" bestFit="1" customWidth="1"/>
    <col min="12553" max="12553" width="10.6640625" style="260" customWidth="1"/>
    <col min="12554" max="12554" width="20.109375" style="260" customWidth="1"/>
    <col min="12555" max="12555" width="13.88671875" style="260" bestFit="1" customWidth="1"/>
    <col min="12556" max="12556" width="12.6640625" style="260" customWidth="1"/>
    <col min="12557" max="12557" width="12.6640625" style="260" bestFit="1" customWidth="1"/>
    <col min="12558" max="12558" width="14.109375" style="260" bestFit="1" customWidth="1"/>
    <col min="12559" max="12559" width="8.88671875" style="260"/>
    <col min="12560" max="12560" width="15.88671875" style="260" customWidth="1"/>
    <col min="12561" max="12800" width="8.88671875" style="260"/>
    <col min="12801" max="12801" width="8.6640625" style="260" customWidth="1"/>
    <col min="12802" max="12802" width="7.88671875" style="260" customWidth="1"/>
    <col min="12803" max="12803" width="19.109375" style="260" bestFit="1" customWidth="1"/>
    <col min="12804" max="12805" width="13.77734375" style="260" customWidth="1"/>
    <col min="12806" max="12806" width="0" style="260" hidden="1" customWidth="1"/>
    <col min="12807" max="12807" width="13.77734375" style="260" customWidth="1"/>
    <col min="12808" max="12808" width="62.44140625" style="260" bestFit="1" customWidth="1"/>
    <col min="12809" max="12809" width="10.6640625" style="260" customWidth="1"/>
    <col min="12810" max="12810" width="20.109375" style="260" customWidth="1"/>
    <col min="12811" max="12811" width="13.88671875" style="260" bestFit="1" customWidth="1"/>
    <col min="12812" max="12812" width="12.6640625" style="260" customWidth="1"/>
    <col min="12813" max="12813" width="12.6640625" style="260" bestFit="1" customWidth="1"/>
    <col min="12814" max="12814" width="14.109375" style="260" bestFit="1" customWidth="1"/>
    <col min="12815" max="12815" width="8.88671875" style="260"/>
    <col min="12816" max="12816" width="15.88671875" style="260" customWidth="1"/>
    <col min="12817" max="13056" width="8.88671875" style="260"/>
    <col min="13057" max="13057" width="8.6640625" style="260" customWidth="1"/>
    <col min="13058" max="13058" width="7.88671875" style="260" customWidth="1"/>
    <col min="13059" max="13059" width="19.109375" style="260" bestFit="1" customWidth="1"/>
    <col min="13060" max="13061" width="13.77734375" style="260" customWidth="1"/>
    <col min="13062" max="13062" width="0" style="260" hidden="1" customWidth="1"/>
    <col min="13063" max="13063" width="13.77734375" style="260" customWidth="1"/>
    <col min="13064" max="13064" width="62.44140625" style="260" bestFit="1" customWidth="1"/>
    <col min="13065" max="13065" width="10.6640625" style="260" customWidth="1"/>
    <col min="13066" max="13066" width="20.109375" style="260" customWidth="1"/>
    <col min="13067" max="13067" width="13.88671875" style="260" bestFit="1" customWidth="1"/>
    <col min="13068" max="13068" width="12.6640625" style="260" customWidth="1"/>
    <col min="13069" max="13069" width="12.6640625" style="260" bestFit="1" customWidth="1"/>
    <col min="13070" max="13070" width="14.109375" style="260" bestFit="1" customWidth="1"/>
    <col min="13071" max="13071" width="8.88671875" style="260"/>
    <col min="13072" max="13072" width="15.88671875" style="260" customWidth="1"/>
    <col min="13073" max="13312" width="8.88671875" style="260"/>
    <col min="13313" max="13313" width="8.6640625" style="260" customWidth="1"/>
    <col min="13314" max="13314" width="7.88671875" style="260" customWidth="1"/>
    <col min="13315" max="13315" width="19.109375" style="260" bestFit="1" customWidth="1"/>
    <col min="13316" max="13317" width="13.77734375" style="260" customWidth="1"/>
    <col min="13318" max="13318" width="0" style="260" hidden="1" customWidth="1"/>
    <col min="13319" max="13319" width="13.77734375" style="260" customWidth="1"/>
    <col min="13320" max="13320" width="62.44140625" style="260" bestFit="1" customWidth="1"/>
    <col min="13321" max="13321" width="10.6640625" style="260" customWidth="1"/>
    <col min="13322" max="13322" width="20.109375" style="260" customWidth="1"/>
    <col min="13323" max="13323" width="13.88671875" style="260" bestFit="1" customWidth="1"/>
    <col min="13324" max="13324" width="12.6640625" style="260" customWidth="1"/>
    <col min="13325" max="13325" width="12.6640625" style="260" bestFit="1" customWidth="1"/>
    <col min="13326" max="13326" width="14.109375" style="260" bestFit="1" customWidth="1"/>
    <col min="13327" max="13327" width="8.88671875" style="260"/>
    <col min="13328" max="13328" width="15.88671875" style="260" customWidth="1"/>
    <col min="13329" max="13568" width="8.88671875" style="260"/>
    <col min="13569" max="13569" width="8.6640625" style="260" customWidth="1"/>
    <col min="13570" max="13570" width="7.88671875" style="260" customWidth="1"/>
    <col min="13571" max="13571" width="19.109375" style="260" bestFit="1" customWidth="1"/>
    <col min="13572" max="13573" width="13.77734375" style="260" customWidth="1"/>
    <col min="13574" max="13574" width="0" style="260" hidden="1" customWidth="1"/>
    <col min="13575" max="13575" width="13.77734375" style="260" customWidth="1"/>
    <col min="13576" max="13576" width="62.44140625" style="260" bestFit="1" customWidth="1"/>
    <col min="13577" max="13577" width="10.6640625" style="260" customWidth="1"/>
    <col min="13578" max="13578" width="20.109375" style="260" customWidth="1"/>
    <col min="13579" max="13579" width="13.88671875" style="260" bestFit="1" customWidth="1"/>
    <col min="13580" max="13580" width="12.6640625" style="260" customWidth="1"/>
    <col min="13581" max="13581" width="12.6640625" style="260" bestFit="1" customWidth="1"/>
    <col min="13582" max="13582" width="14.109375" style="260" bestFit="1" customWidth="1"/>
    <col min="13583" max="13583" width="8.88671875" style="260"/>
    <col min="13584" max="13584" width="15.88671875" style="260" customWidth="1"/>
    <col min="13585" max="13824" width="8.88671875" style="260"/>
    <col min="13825" max="13825" width="8.6640625" style="260" customWidth="1"/>
    <col min="13826" max="13826" width="7.88671875" style="260" customWidth="1"/>
    <col min="13827" max="13827" width="19.109375" style="260" bestFit="1" customWidth="1"/>
    <col min="13828" max="13829" width="13.77734375" style="260" customWidth="1"/>
    <col min="13830" max="13830" width="0" style="260" hidden="1" customWidth="1"/>
    <col min="13831" max="13831" width="13.77734375" style="260" customWidth="1"/>
    <col min="13832" max="13832" width="62.44140625" style="260" bestFit="1" customWidth="1"/>
    <col min="13833" max="13833" width="10.6640625" style="260" customWidth="1"/>
    <col min="13834" max="13834" width="20.109375" style="260" customWidth="1"/>
    <col min="13835" max="13835" width="13.88671875" style="260" bestFit="1" customWidth="1"/>
    <col min="13836" max="13836" width="12.6640625" style="260" customWidth="1"/>
    <col min="13837" max="13837" width="12.6640625" style="260" bestFit="1" customWidth="1"/>
    <col min="13838" max="13838" width="14.109375" style="260" bestFit="1" customWidth="1"/>
    <col min="13839" max="13839" width="8.88671875" style="260"/>
    <col min="13840" max="13840" width="15.88671875" style="260" customWidth="1"/>
    <col min="13841" max="14080" width="8.88671875" style="260"/>
    <col min="14081" max="14081" width="8.6640625" style="260" customWidth="1"/>
    <col min="14082" max="14082" width="7.88671875" style="260" customWidth="1"/>
    <col min="14083" max="14083" width="19.109375" style="260" bestFit="1" customWidth="1"/>
    <col min="14084" max="14085" width="13.77734375" style="260" customWidth="1"/>
    <col min="14086" max="14086" width="0" style="260" hidden="1" customWidth="1"/>
    <col min="14087" max="14087" width="13.77734375" style="260" customWidth="1"/>
    <col min="14088" max="14088" width="62.44140625" style="260" bestFit="1" customWidth="1"/>
    <col min="14089" max="14089" width="10.6640625" style="260" customWidth="1"/>
    <col min="14090" max="14090" width="20.109375" style="260" customWidth="1"/>
    <col min="14091" max="14091" width="13.88671875" style="260" bestFit="1" customWidth="1"/>
    <col min="14092" max="14092" width="12.6640625" style="260" customWidth="1"/>
    <col min="14093" max="14093" width="12.6640625" style="260" bestFit="1" customWidth="1"/>
    <col min="14094" max="14094" width="14.109375" style="260" bestFit="1" customWidth="1"/>
    <col min="14095" max="14095" width="8.88671875" style="260"/>
    <col min="14096" max="14096" width="15.88671875" style="260" customWidth="1"/>
    <col min="14097" max="14336" width="8.88671875" style="260"/>
    <col min="14337" max="14337" width="8.6640625" style="260" customWidth="1"/>
    <col min="14338" max="14338" width="7.88671875" style="260" customWidth="1"/>
    <col min="14339" max="14339" width="19.109375" style="260" bestFit="1" customWidth="1"/>
    <col min="14340" max="14341" width="13.77734375" style="260" customWidth="1"/>
    <col min="14342" max="14342" width="0" style="260" hidden="1" customWidth="1"/>
    <col min="14343" max="14343" width="13.77734375" style="260" customWidth="1"/>
    <col min="14344" max="14344" width="62.44140625" style="260" bestFit="1" customWidth="1"/>
    <col min="14345" max="14345" width="10.6640625" style="260" customWidth="1"/>
    <col min="14346" max="14346" width="20.109375" style="260" customWidth="1"/>
    <col min="14347" max="14347" width="13.88671875" style="260" bestFit="1" customWidth="1"/>
    <col min="14348" max="14348" width="12.6640625" style="260" customWidth="1"/>
    <col min="14349" max="14349" width="12.6640625" style="260" bestFit="1" customWidth="1"/>
    <col min="14350" max="14350" width="14.109375" style="260" bestFit="1" customWidth="1"/>
    <col min="14351" max="14351" width="8.88671875" style="260"/>
    <col min="14352" max="14352" width="15.88671875" style="260" customWidth="1"/>
    <col min="14353" max="14592" width="8.88671875" style="260"/>
    <col min="14593" max="14593" width="8.6640625" style="260" customWidth="1"/>
    <col min="14594" max="14594" width="7.88671875" style="260" customWidth="1"/>
    <col min="14595" max="14595" width="19.109375" style="260" bestFit="1" customWidth="1"/>
    <col min="14596" max="14597" width="13.77734375" style="260" customWidth="1"/>
    <col min="14598" max="14598" width="0" style="260" hidden="1" customWidth="1"/>
    <col min="14599" max="14599" width="13.77734375" style="260" customWidth="1"/>
    <col min="14600" max="14600" width="62.44140625" style="260" bestFit="1" customWidth="1"/>
    <col min="14601" max="14601" width="10.6640625" style="260" customWidth="1"/>
    <col min="14602" max="14602" width="20.109375" style="260" customWidth="1"/>
    <col min="14603" max="14603" width="13.88671875" style="260" bestFit="1" customWidth="1"/>
    <col min="14604" max="14604" width="12.6640625" style="260" customWidth="1"/>
    <col min="14605" max="14605" width="12.6640625" style="260" bestFit="1" customWidth="1"/>
    <col min="14606" max="14606" width="14.109375" style="260" bestFit="1" customWidth="1"/>
    <col min="14607" max="14607" width="8.88671875" style="260"/>
    <col min="14608" max="14608" width="15.88671875" style="260" customWidth="1"/>
    <col min="14609" max="14848" width="8.88671875" style="260"/>
    <col min="14849" max="14849" width="8.6640625" style="260" customWidth="1"/>
    <col min="14850" max="14850" width="7.88671875" style="260" customWidth="1"/>
    <col min="14851" max="14851" width="19.109375" style="260" bestFit="1" customWidth="1"/>
    <col min="14852" max="14853" width="13.77734375" style="260" customWidth="1"/>
    <col min="14854" max="14854" width="0" style="260" hidden="1" customWidth="1"/>
    <col min="14855" max="14855" width="13.77734375" style="260" customWidth="1"/>
    <col min="14856" max="14856" width="62.44140625" style="260" bestFit="1" customWidth="1"/>
    <col min="14857" max="14857" width="10.6640625" style="260" customWidth="1"/>
    <col min="14858" max="14858" width="20.109375" style="260" customWidth="1"/>
    <col min="14859" max="14859" width="13.88671875" style="260" bestFit="1" customWidth="1"/>
    <col min="14860" max="14860" width="12.6640625" style="260" customWidth="1"/>
    <col min="14861" max="14861" width="12.6640625" style="260" bestFit="1" customWidth="1"/>
    <col min="14862" max="14862" width="14.109375" style="260" bestFit="1" customWidth="1"/>
    <col min="14863" max="14863" width="8.88671875" style="260"/>
    <col min="14864" max="14864" width="15.88671875" style="260" customWidth="1"/>
    <col min="14865" max="15104" width="8.88671875" style="260"/>
    <col min="15105" max="15105" width="8.6640625" style="260" customWidth="1"/>
    <col min="15106" max="15106" width="7.88671875" style="260" customWidth="1"/>
    <col min="15107" max="15107" width="19.109375" style="260" bestFit="1" customWidth="1"/>
    <col min="15108" max="15109" width="13.77734375" style="260" customWidth="1"/>
    <col min="15110" max="15110" width="0" style="260" hidden="1" customWidth="1"/>
    <col min="15111" max="15111" width="13.77734375" style="260" customWidth="1"/>
    <col min="15112" max="15112" width="62.44140625" style="260" bestFit="1" customWidth="1"/>
    <col min="15113" max="15113" width="10.6640625" style="260" customWidth="1"/>
    <col min="15114" max="15114" width="20.109375" style="260" customWidth="1"/>
    <col min="15115" max="15115" width="13.88671875" style="260" bestFit="1" customWidth="1"/>
    <col min="15116" max="15116" width="12.6640625" style="260" customWidth="1"/>
    <col min="15117" max="15117" width="12.6640625" style="260" bestFit="1" customWidth="1"/>
    <col min="15118" max="15118" width="14.109375" style="260" bestFit="1" customWidth="1"/>
    <col min="15119" max="15119" width="8.88671875" style="260"/>
    <col min="15120" max="15120" width="15.88671875" style="260" customWidth="1"/>
    <col min="15121" max="15360" width="8.88671875" style="260"/>
    <col min="15361" max="15361" width="8.6640625" style="260" customWidth="1"/>
    <col min="15362" max="15362" width="7.88671875" style="260" customWidth="1"/>
    <col min="15363" max="15363" width="19.109375" style="260" bestFit="1" customWidth="1"/>
    <col min="15364" max="15365" width="13.77734375" style="260" customWidth="1"/>
    <col min="15366" max="15366" width="0" style="260" hidden="1" customWidth="1"/>
    <col min="15367" max="15367" width="13.77734375" style="260" customWidth="1"/>
    <col min="15368" max="15368" width="62.44140625" style="260" bestFit="1" customWidth="1"/>
    <col min="15369" max="15369" width="10.6640625" style="260" customWidth="1"/>
    <col min="15370" max="15370" width="20.109375" style="260" customWidth="1"/>
    <col min="15371" max="15371" width="13.88671875" style="260" bestFit="1" customWidth="1"/>
    <col min="15372" max="15372" width="12.6640625" style="260" customWidth="1"/>
    <col min="15373" max="15373" width="12.6640625" style="260" bestFit="1" customWidth="1"/>
    <col min="15374" max="15374" width="14.109375" style="260" bestFit="1" customWidth="1"/>
    <col min="15375" max="15375" width="8.88671875" style="260"/>
    <col min="15376" max="15376" width="15.88671875" style="260" customWidth="1"/>
    <col min="15377" max="15616" width="8.88671875" style="260"/>
    <col min="15617" max="15617" width="8.6640625" style="260" customWidth="1"/>
    <col min="15618" max="15618" width="7.88671875" style="260" customWidth="1"/>
    <col min="15619" max="15619" width="19.109375" style="260" bestFit="1" customWidth="1"/>
    <col min="15620" max="15621" width="13.77734375" style="260" customWidth="1"/>
    <col min="15622" max="15622" width="0" style="260" hidden="1" customWidth="1"/>
    <col min="15623" max="15623" width="13.77734375" style="260" customWidth="1"/>
    <col min="15624" max="15624" width="62.44140625" style="260" bestFit="1" customWidth="1"/>
    <col min="15625" max="15625" width="10.6640625" style="260" customWidth="1"/>
    <col min="15626" max="15626" width="20.109375" style="260" customWidth="1"/>
    <col min="15627" max="15627" width="13.88671875" style="260" bestFit="1" customWidth="1"/>
    <col min="15628" max="15628" width="12.6640625" style="260" customWidth="1"/>
    <col min="15629" max="15629" width="12.6640625" style="260" bestFit="1" customWidth="1"/>
    <col min="15630" max="15630" width="14.109375" style="260" bestFit="1" customWidth="1"/>
    <col min="15631" max="15631" width="8.88671875" style="260"/>
    <col min="15632" max="15632" width="15.88671875" style="260" customWidth="1"/>
    <col min="15633" max="15872" width="8.88671875" style="260"/>
    <col min="15873" max="15873" width="8.6640625" style="260" customWidth="1"/>
    <col min="15874" max="15874" width="7.88671875" style="260" customWidth="1"/>
    <col min="15875" max="15875" width="19.109375" style="260" bestFit="1" customWidth="1"/>
    <col min="15876" max="15877" width="13.77734375" style="260" customWidth="1"/>
    <col min="15878" max="15878" width="0" style="260" hidden="1" customWidth="1"/>
    <col min="15879" max="15879" width="13.77734375" style="260" customWidth="1"/>
    <col min="15880" max="15880" width="62.44140625" style="260" bestFit="1" customWidth="1"/>
    <col min="15881" max="15881" width="10.6640625" style="260" customWidth="1"/>
    <col min="15882" max="15882" width="20.109375" style="260" customWidth="1"/>
    <col min="15883" max="15883" width="13.88671875" style="260" bestFit="1" customWidth="1"/>
    <col min="15884" max="15884" width="12.6640625" style="260" customWidth="1"/>
    <col min="15885" max="15885" width="12.6640625" style="260" bestFit="1" customWidth="1"/>
    <col min="15886" max="15886" width="14.109375" style="260" bestFit="1" customWidth="1"/>
    <col min="15887" max="15887" width="8.88671875" style="260"/>
    <col min="15888" max="15888" width="15.88671875" style="260" customWidth="1"/>
    <col min="15889" max="16128" width="8.88671875" style="260"/>
    <col min="16129" max="16129" width="8.6640625" style="260" customWidth="1"/>
    <col min="16130" max="16130" width="7.88671875" style="260" customWidth="1"/>
    <col min="16131" max="16131" width="19.109375" style="260" bestFit="1" customWidth="1"/>
    <col min="16132" max="16133" width="13.77734375" style="260" customWidth="1"/>
    <col min="16134" max="16134" width="0" style="260" hidden="1" customWidth="1"/>
    <col min="16135" max="16135" width="13.77734375" style="260" customWidth="1"/>
    <col min="16136" max="16136" width="62.44140625" style="260" bestFit="1" customWidth="1"/>
    <col min="16137" max="16137" width="10.6640625" style="260" customWidth="1"/>
    <col min="16138" max="16138" width="20.109375" style="260" customWidth="1"/>
    <col min="16139" max="16139" width="13.88671875" style="260" bestFit="1" customWidth="1"/>
    <col min="16140" max="16140" width="12.6640625" style="260" customWidth="1"/>
    <col min="16141" max="16141" width="12.6640625" style="260" bestFit="1" customWidth="1"/>
    <col min="16142" max="16142" width="14.109375" style="260" bestFit="1" customWidth="1"/>
    <col min="16143" max="16143" width="8.88671875" style="260"/>
    <col min="16144" max="16144" width="15.88671875" style="260" customWidth="1"/>
    <col min="16145" max="16384" width="8.88671875" style="260"/>
  </cols>
  <sheetData>
    <row r="1" spans="1:11" ht="30.75" customHeight="1">
      <c r="A1" s="1517" t="s">
        <v>360</v>
      </c>
      <c r="B1" s="1517"/>
      <c r="C1" s="1517"/>
      <c r="D1" s="1517"/>
      <c r="E1" s="1517"/>
      <c r="F1" s="1517"/>
      <c r="G1" s="1517"/>
      <c r="H1" s="1517"/>
      <c r="I1" s="1517"/>
      <c r="J1" s="1517"/>
      <c r="K1" s="1517"/>
    </row>
    <row r="2" spans="1:11" ht="19.5" customHeight="1" thickBot="1">
      <c r="A2" s="1518" t="s">
        <v>254</v>
      </c>
      <c r="B2" s="1518"/>
      <c r="C2" s="1518"/>
      <c r="D2" s="1518"/>
      <c r="E2" s="1518"/>
      <c r="F2" s="1518"/>
      <c r="G2" s="1518"/>
      <c r="H2" s="1518"/>
      <c r="I2" s="1518"/>
      <c r="J2" s="1518"/>
      <c r="K2" s="1518"/>
    </row>
    <row r="3" spans="1:11" ht="14.25" thickBot="1">
      <c r="A3" s="1519" t="s">
        <v>31</v>
      </c>
      <c r="B3" s="1519"/>
      <c r="C3" s="1519"/>
      <c r="D3" s="1520" t="s">
        <v>255</v>
      </c>
      <c r="E3" s="1520" t="s">
        <v>256</v>
      </c>
      <c r="F3" s="1520" t="s">
        <v>257</v>
      </c>
      <c r="G3" s="1520" t="s">
        <v>258</v>
      </c>
      <c r="H3" s="1522" t="s">
        <v>32</v>
      </c>
      <c r="I3" s="1523"/>
      <c r="J3" s="1524"/>
      <c r="K3" s="1528" t="s">
        <v>37</v>
      </c>
    </row>
    <row r="4" spans="1:11" ht="14.25" thickBot="1">
      <c r="A4" s="518" t="s">
        <v>38</v>
      </c>
      <c r="B4" s="518" t="s">
        <v>39</v>
      </c>
      <c r="C4" s="261" t="s">
        <v>40</v>
      </c>
      <c r="D4" s="1521"/>
      <c r="E4" s="1521"/>
      <c r="F4" s="1521"/>
      <c r="G4" s="1521"/>
      <c r="H4" s="1525"/>
      <c r="I4" s="1526"/>
      <c r="J4" s="1527"/>
      <c r="K4" s="1529"/>
    </row>
    <row r="5" spans="1:11" ht="14.25" thickBot="1">
      <c r="A5" s="1506" t="s">
        <v>41</v>
      </c>
      <c r="B5" s="1507"/>
      <c r="C5" s="1508"/>
      <c r="D5" s="262">
        <f>D10+D145+D149+D155+D166+D167+D168+D169+D6+D165</f>
        <v>1741310303</v>
      </c>
      <c r="E5" s="263">
        <f>E10+E145+E149+E157+E166+E167+E168+E169+E6+E165</f>
        <v>1784525059</v>
      </c>
      <c r="F5" s="263"/>
      <c r="G5" s="264">
        <f t="shared" ref="G5:G12" si="0">E5-D5</f>
        <v>43214756</v>
      </c>
      <c r="H5" s="265"/>
      <c r="I5" s="266"/>
      <c r="J5" s="266"/>
      <c r="K5" s="263">
        <f>K10+K145+K149+K157+K166+K167+K168+K169+K6+K165</f>
        <v>1784525059</v>
      </c>
    </row>
    <row r="6" spans="1:11">
      <c r="A6" s="425" t="s">
        <v>137</v>
      </c>
      <c r="B6" s="426"/>
      <c r="C6" s="427"/>
      <c r="D6" s="267">
        <f>D7</f>
        <v>7000000</v>
      </c>
      <c r="E6" s="267">
        <f>E7</f>
        <v>7000000</v>
      </c>
      <c r="F6" s="267"/>
      <c r="G6" s="268">
        <f t="shared" si="0"/>
        <v>0</v>
      </c>
      <c r="H6" s="269"/>
      <c r="I6" s="270"/>
      <c r="J6" s="270"/>
      <c r="K6" s="268">
        <f>K7</f>
        <v>7000000</v>
      </c>
    </row>
    <row r="7" spans="1:11" ht="14.25" thickBot="1">
      <c r="A7" s="428"/>
      <c r="B7" s="429" t="s">
        <v>137</v>
      </c>
      <c r="C7" s="429"/>
      <c r="D7" s="271">
        <f>D8+D9</f>
        <v>7000000</v>
      </c>
      <c r="E7" s="271">
        <f>E8+E9</f>
        <v>7000000</v>
      </c>
      <c r="F7" s="271"/>
      <c r="G7" s="272">
        <f t="shared" si="0"/>
        <v>0</v>
      </c>
      <c r="H7" s="273"/>
      <c r="I7" s="274"/>
      <c r="J7" s="274"/>
      <c r="K7" s="272">
        <f>K8+K9</f>
        <v>7000000</v>
      </c>
    </row>
    <row r="8" spans="1:11">
      <c r="A8" s="392"/>
      <c r="B8" s="391"/>
      <c r="C8" s="430" t="s">
        <v>138</v>
      </c>
      <c r="D8" s="275">
        <v>5000000</v>
      </c>
      <c r="E8" s="275">
        <f>K8</f>
        <v>5000000</v>
      </c>
      <c r="F8" s="275"/>
      <c r="G8" s="276">
        <f t="shared" si="0"/>
        <v>0</v>
      </c>
      <c r="H8" s="1509"/>
      <c r="I8" s="1510"/>
      <c r="J8" s="1510"/>
      <c r="K8" s="277">
        <v>5000000</v>
      </c>
    </row>
    <row r="9" spans="1:11" ht="14.25" thickBot="1">
      <c r="A9" s="392"/>
      <c r="B9" s="431"/>
      <c r="C9" s="429" t="s">
        <v>139</v>
      </c>
      <c r="D9" s="271">
        <v>2000000</v>
      </c>
      <c r="E9" s="271">
        <f>K9</f>
        <v>2000000</v>
      </c>
      <c r="F9" s="271"/>
      <c r="G9" s="272">
        <f t="shared" si="0"/>
        <v>0</v>
      </c>
      <c r="H9" s="278"/>
      <c r="I9" s="279"/>
      <c r="J9" s="279"/>
      <c r="K9" s="280">
        <v>2000000</v>
      </c>
    </row>
    <row r="10" spans="1:11" ht="14.25" thickBot="1">
      <c r="A10" s="268" t="s">
        <v>33</v>
      </c>
      <c r="B10" s="268"/>
      <c r="C10" s="268" t="s">
        <v>42</v>
      </c>
      <c r="D10" s="267">
        <f>D11</f>
        <v>1619187760</v>
      </c>
      <c r="E10" s="267">
        <f>E11</f>
        <v>1656584030</v>
      </c>
      <c r="F10" s="267"/>
      <c r="G10" s="281">
        <f t="shared" si="0"/>
        <v>37396270</v>
      </c>
      <c r="H10" s="282"/>
      <c r="I10" s="283"/>
      <c r="J10" s="283"/>
      <c r="K10" s="284">
        <f>K11</f>
        <v>1656584030</v>
      </c>
    </row>
    <row r="11" spans="1:11" ht="14.25" thickBot="1">
      <c r="A11" s="285"/>
      <c r="B11" s="272" t="s">
        <v>33</v>
      </c>
      <c r="C11" s="286"/>
      <c r="D11" s="287">
        <f>D12+D31+D120+D125+D127+D131+D133+D135+D164+D159+D102</f>
        <v>1619187760</v>
      </c>
      <c r="E11" s="287">
        <f>E12+E31+E120+E125+E127+E131+E133+E135+E164+E159+E102</f>
        <v>1656584030</v>
      </c>
      <c r="F11" s="287"/>
      <c r="G11" s="288">
        <f t="shared" si="0"/>
        <v>37396270</v>
      </c>
      <c r="H11" s="289"/>
      <c r="I11" s="290"/>
      <c r="J11" s="290"/>
      <c r="K11" s="291">
        <f>K13+K31+K120+K125+K127+K131+K133+K135+K164+K159+K102</f>
        <v>1656584030</v>
      </c>
    </row>
    <row r="12" spans="1:11" ht="14.25" thickBot="1">
      <c r="A12" s="285"/>
      <c r="B12" s="285"/>
      <c r="C12" s="281" t="s">
        <v>44</v>
      </c>
      <c r="D12" s="292">
        <v>525527000</v>
      </c>
      <c r="E12" s="292">
        <f>K13</f>
        <v>529729000</v>
      </c>
      <c r="F12" s="293"/>
      <c r="G12" s="293">
        <f t="shared" si="0"/>
        <v>4202000</v>
      </c>
      <c r="H12" s="1485" t="s">
        <v>44</v>
      </c>
      <c r="I12" s="1486"/>
      <c r="J12" s="1511"/>
      <c r="K12" s="294">
        <f>K13+K31</f>
        <v>668268200</v>
      </c>
    </row>
    <row r="13" spans="1:11" ht="14.25" thickBot="1">
      <c r="A13" s="285"/>
      <c r="B13" s="285"/>
      <c r="C13" s="295"/>
      <c r="D13" s="296"/>
      <c r="E13" s="297"/>
      <c r="F13" s="296"/>
      <c r="G13" s="296"/>
      <c r="H13" s="293" t="s">
        <v>3</v>
      </c>
      <c r="I13" s="298"/>
      <c r="J13" s="299"/>
      <c r="K13" s="300">
        <f>SUM(K14:K30)</f>
        <v>529729000</v>
      </c>
    </row>
    <row r="14" spans="1:11" ht="24.95" customHeight="1">
      <c r="A14" s="285"/>
      <c r="B14" s="285"/>
      <c r="C14" s="295"/>
      <c r="D14" s="296"/>
      <c r="E14" s="285"/>
      <c r="F14" s="296"/>
      <c r="G14" s="296"/>
      <c r="H14" s="301" t="s">
        <v>421</v>
      </c>
      <c r="I14" s="302" t="s">
        <v>261</v>
      </c>
      <c r="J14" s="303" t="s">
        <v>277</v>
      </c>
      <c r="K14" s="304">
        <v>59468000</v>
      </c>
    </row>
    <row r="15" spans="1:11" ht="24.95" customHeight="1">
      <c r="A15" s="285"/>
      <c r="B15" s="285"/>
      <c r="C15" s="295"/>
      <c r="D15" s="296"/>
      <c r="E15" s="285"/>
      <c r="F15" s="296"/>
      <c r="G15" s="296"/>
      <c r="H15" s="305" t="s">
        <v>422</v>
      </c>
      <c r="I15" s="306" t="s">
        <v>262</v>
      </c>
      <c r="J15" s="303" t="s">
        <v>278</v>
      </c>
      <c r="K15" s="307">
        <v>51636000</v>
      </c>
    </row>
    <row r="16" spans="1:11" ht="24.95" customHeight="1">
      <c r="A16" s="285"/>
      <c r="B16" s="285"/>
      <c r="C16" s="295"/>
      <c r="D16" s="296"/>
      <c r="E16" s="285"/>
      <c r="F16" s="296"/>
      <c r="G16" s="296"/>
      <c r="H16" s="305" t="s">
        <v>423</v>
      </c>
      <c r="I16" s="306" t="s">
        <v>263</v>
      </c>
      <c r="J16" s="303" t="s">
        <v>279</v>
      </c>
      <c r="K16" s="307">
        <v>45210000</v>
      </c>
    </row>
    <row r="17" spans="1:11" ht="24.95" customHeight="1">
      <c r="A17" s="285"/>
      <c r="B17" s="285"/>
      <c r="C17" s="295"/>
      <c r="D17" s="296"/>
      <c r="E17" s="285"/>
      <c r="F17" s="296"/>
      <c r="G17" s="296"/>
      <c r="H17" s="305" t="s">
        <v>424</v>
      </c>
      <c r="I17" s="306" t="s">
        <v>264</v>
      </c>
      <c r="J17" s="303" t="s">
        <v>280</v>
      </c>
      <c r="K17" s="307">
        <v>41972000</v>
      </c>
    </row>
    <row r="18" spans="1:11" ht="24.95" customHeight="1">
      <c r="A18" s="285"/>
      <c r="B18" s="285"/>
      <c r="C18" s="295"/>
      <c r="D18" s="296"/>
      <c r="E18" s="285"/>
      <c r="F18" s="296"/>
      <c r="G18" s="296"/>
      <c r="H18" s="305" t="s">
        <v>425</v>
      </c>
      <c r="I18" s="306" t="s">
        <v>265</v>
      </c>
      <c r="J18" s="303" t="s">
        <v>281</v>
      </c>
      <c r="K18" s="307">
        <v>43434000</v>
      </c>
    </row>
    <row r="19" spans="1:11" ht="24.95" customHeight="1">
      <c r="A19" s="285"/>
      <c r="B19" s="285"/>
      <c r="C19" s="295"/>
      <c r="D19" s="296"/>
      <c r="E19" s="285"/>
      <c r="F19" s="296"/>
      <c r="G19" s="296"/>
      <c r="H19" s="308" t="s">
        <v>426</v>
      </c>
      <c r="I19" s="311">
        <v>2404000</v>
      </c>
      <c r="J19" s="515" t="s">
        <v>273</v>
      </c>
      <c r="K19" s="310">
        <v>26444000</v>
      </c>
    </row>
    <row r="20" spans="1:11" ht="24.95" customHeight="1">
      <c r="A20" s="285"/>
      <c r="B20" s="285"/>
      <c r="C20" s="295"/>
      <c r="D20" s="296"/>
      <c r="E20" s="285"/>
      <c r="F20" s="296"/>
      <c r="G20" s="296"/>
      <c r="H20" s="305" t="s">
        <v>427</v>
      </c>
      <c r="I20" s="311">
        <v>2404000</v>
      </c>
      <c r="J20" s="312" t="s">
        <v>274</v>
      </c>
      <c r="K20" s="307">
        <v>28848000</v>
      </c>
    </row>
    <row r="21" spans="1:11" ht="24.95" customHeight="1">
      <c r="A21" s="285"/>
      <c r="B21" s="285"/>
      <c r="C21" s="295"/>
      <c r="D21" s="296"/>
      <c r="E21" s="285"/>
      <c r="F21" s="296"/>
      <c r="G21" s="296"/>
      <c r="H21" s="305" t="s">
        <v>428</v>
      </c>
      <c r="I21" s="306" t="s">
        <v>266</v>
      </c>
      <c r="J21" s="303" t="s">
        <v>282</v>
      </c>
      <c r="K21" s="307">
        <v>30448000</v>
      </c>
    </row>
    <row r="22" spans="1:11" ht="24.95" customHeight="1">
      <c r="A22" s="285"/>
      <c r="B22" s="285"/>
      <c r="C22" s="295"/>
      <c r="D22" s="296"/>
      <c r="E22" s="285"/>
      <c r="F22" s="296"/>
      <c r="G22" s="296"/>
      <c r="H22" s="305" t="s">
        <v>429</v>
      </c>
      <c r="I22" s="311" t="s">
        <v>267</v>
      </c>
      <c r="J22" s="312" t="s">
        <v>283</v>
      </c>
      <c r="K22" s="307">
        <v>24841000</v>
      </c>
    </row>
    <row r="23" spans="1:11" ht="24.95" customHeight="1">
      <c r="A23" s="285"/>
      <c r="B23" s="285"/>
      <c r="C23" s="295"/>
      <c r="D23" s="296"/>
      <c r="E23" s="285"/>
      <c r="F23" s="296"/>
      <c r="G23" s="296"/>
      <c r="H23" s="305" t="s">
        <v>430</v>
      </c>
      <c r="I23" s="313" t="s">
        <v>268</v>
      </c>
      <c r="J23" s="312" t="s">
        <v>284</v>
      </c>
      <c r="K23" s="310">
        <v>26171000</v>
      </c>
    </row>
    <row r="24" spans="1:11" ht="22.5">
      <c r="A24" s="285"/>
      <c r="B24" s="285"/>
      <c r="C24" s="295"/>
      <c r="D24" s="296"/>
      <c r="E24" s="285"/>
      <c r="F24" s="296"/>
      <c r="G24" s="296"/>
      <c r="H24" s="308" t="s">
        <v>431</v>
      </c>
      <c r="I24" s="309" t="s">
        <v>269</v>
      </c>
      <c r="J24" s="314" t="s">
        <v>285</v>
      </c>
      <c r="K24" s="310">
        <v>30460000</v>
      </c>
    </row>
    <row r="25" spans="1:11" ht="24.95" customHeight="1">
      <c r="A25" s="285"/>
      <c r="B25" s="285"/>
      <c r="C25" s="295"/>
      <c r="D25" s="296"/>
      <c r="E25" s="285"/>
      <c r="F25" s="296"/>
      <c r="G25" s="296"/>
      <c r="H25" s="315" t="s">
        <v>432</v>
      </c>
      <c r="I25" s="311">
        <v>2698000</v>
      </c>
      <c r="J25" s="515" t="s">
        <v>275</v>
      </c>
      <c r="K25" s="310">
        <v>32376000</v>
      </c>
    </row>
    <row r="26" spans="1:11" ht="24.95" customHeight="1">
      <c r="A26" s="285"/>
      <c r="B26" s="285"/>
      <c r="C26" s="295"/>
      <c r="D26" s="296"/>
      <c r="E26" s="285"/>
      <c r="F26" s="296"/>
      <c r="G26" s="296"/>
      <c r="H26" s="308" t="s">
        <v>433</v>
      </c>
      <c r="I26" s="309" t="s">
        <v>270</v>
      </c>
      <c r="J26" s="515" t="s">
        <v>286</v>
      </c>
      <c r="K26" s="310">
        <v>29923000</v>
      </c>
    </row>
    <row r="27" spans="1:11" ht="22.5">
      <c r="A27" s="285"/>
      <c r="B27" s="285"/>
      <c r="C27" s="295"/>
      <c r="D27" s="296"/>
      <c r="E27" s="285"/>
      <c r="F27" s="296"/>
      <c r="G27" s="296"/>
      <c r="H27" s="308" t="s">
        <v>434</v>
      </c>
      <c r="I27" s="309" t="s">
        <v>271</v>
      </c>
      <c r="J27" s="314" t="s">
        <v>287</v>
      </c>
      <c r="K27" s="310">
        <v>30012000</v>
      </c>
    </row>
    <row r="28" spans="1:11" ht="24.95" customHeight="1">
      <c r="A28" s="285"/>
      <c r="B28" s="285"/>
      <c r="C28" s="295"/>
      <c r="D28" s="296"/>
      <c r="E28" s="285"/>
      <c r="F28" s="296"/>
      <c r="G28" s="296"/>
      <c r="H28" s="305" t="s">
        <v>435</v>
      </c>
      <c r="I28" s="313" t="s">
        <v>272</v>
      </c>
      <c r="J28" s="312" t="s">
        <v>288</v>
      </c>
      <c r="K28" s="310">
        <v>26264000</v>
      </c>
    </row>
    <row r="29" spans="1:11" ht="24.95" customHeight="1">
      <c r="A29" s="285"/>
      <c r="B29" s="285"/>
      <c r="C29" s="295"/>
      <c r="D29" s="296"/>
      <c r="E29" s="285"/>
      <c r="F29" s="296"/>
      <c r="G29" s="296"/>
      <c r="H29" s="305" t="s">
        <v>436</v>
      </c>
      <c r="I29" s="313">
        <v>2222000</v>
      </c>
      <c r="J29" s="312" t="s">
        <v>276</v>
      </c>
      <c r="K29" s="310">
        <v>2222000</v>
      </c>
    </row>
    <row r="30" spans="1:11" ht="24.95" customHeight="1" thickBot="1">
      <c r="A30" s="285"/>
      <c r="B30" s="285"/>
      <c r="C30" s="295"/>
      <c r="D30" s="296"/>
      <c r="E30" s="285"/>
      <c r="F30" s="296"/>
      <c r="G30" s="296"/>
      <c r="H30" s="316"/>
      <c r="I30" s="317"/>
      <c r="J30" s="318"/>
      <c r="K30" s="319"/>
    </row>
    <row r="31" spans="1:11" ht="14.25" thickBot="1">
      <c r="A31" s="285"/>
      <c r="B31" s="285"/>
      <c r="C31" s="281" t="s">
        <v>160</v>
      </c>
      <c r="D31" s="320">
        <f>D32+D50+D67+D80+D97+D99</f>
        <v>138041040</v>
      </c>
      <c r="E31" s="281">
        <f>K31</f>
        <v>138539200</v>
      </c>
      <c r="F31" s="321"/>
      <c r="G31" s="322">
        <f>E31-D31</f>
        <v>498160</v>
      </c>
      <c r="H31" s="1512" t="s">
        <v>160</v>
      </c>
      <c r="I31" s="1513"/>
      <c r="J31" s="1514"/>
      <c r="K31" s="323">
        <f>K32+K50+K67+K80+K97+K99</f>
        <v>138539200</v>
      </c>
    </row>
    <row r="32" spans="1:11" ht="14.25" thickBot="1">
      <c r="A32" s="285"/>
      <c r="B32" s="285"/>
      <c r="C32" s="285"/>
      <c r="D32" s="324">
        <v>18000000</v>
      </c>
      <c r="E32" s="325">
        <f>K32</f>
        <v>17900000</v>
      </c>
      <c r="F32" s="326"/>
      <c r="G32" s="327">
        <f>E32-D32</f>
        <v>-100000</v>
      </c>
      <c r="H32" s="328" t="s">
        <v>4</v>
      </c>
      <c r="I32" s="329"/>
      <c r="J32" s="330"/>
      <c r="K32" s="331">
        <f>SUM(K33:K48)</f>
        <v>17900000</v>
      </c>
    </row>
    <row r="33" spans="1:11" ht="24.75" customHeight="1">
      <c r="A33" s="285"/>
      <c r="B33" s="285"/>
      <c r="C33" s="285"/>
      <c r="D33" s="296"/>
      <c r="E33" s="285"/>
      <c r="F33" s="296"/>
      <c r="G33" s="296"/>
      <c r="H33" s="301" t="s">
        <v>421</v>
      </c>
      <c r="I33" s="332">
        <v>100000</v>
      </c>
      <c r="J33" s="333" t="s">
        <v>259</v>
      </c>
      <c r="K33" s="304">
        <v>1200000</v>
      </c>
    </row>
    <row r="34" spans="1:11" ht="24.75" customHeight="1">
      <c r="A34" s="285"/>
      <c r="B34" s="285"/>
      <c r="C34" s="285"/>
      <c r="D34" s="296"/>
      <c r="E34" s="285"/>
      <c r="F34" s="296"/>
      <c r="G34" s="296"/>
      <c r="H34" s="305" t="s">
        <v>422</v>
      </c>
      <c r="I34" s="334">
        <v>100000</v>
      </c>
      <c r="J34" s="335" t="s">
        <v>259</v>
      </c>
      <c r="K34" s="304">
        <v>1200000</v>
      </c>
    </row>
    <row r="35" spans="1:11" ht="24.75" customHeight="1">
      <c r="A35" s="285"/>
      <c r="B35" s="285"/>
      <c r="C35" s="285"/>
      <c r="D35" s="296"/>
      <c r="E35" s="285"/>
      <c r="F35" s="296"/>
      <c r="G35" s="296"/>
      <c r="H35" s="305" t="s">
        <v>423</v>
      </c>
      <c r="I35" s="334">
        <v>100000</v>
      </c>
      <c r="J35" s="335" t="s">
        <v>259</v>
      </c>
      <c r="K35" s="304">
        <v>1200000</v>
      </c>
    </row>
    <row r="36" spans="1:11" ht="24.75" customHeight="1">
      <c r="A36" s="285"/>
      <c r="B36" s="285"/>
      <c r="C36" s="285"/>
      <c r="D36" s="296"/>
      <c r="E36" s="285"/>
      <c r="F36" s="296"/>
      <c r="G36" s="296"/>
      <c r="H36" s="305" t="s">
        <v>424</v>
      </c>
      <c r="I36" s="334">
        <v>100000</v>
      </c>
      <c r="J36" s="335" t="s">
        <v>259</v>
      </c>
      <c r="K36" s="304">
        <v>1200000</v>
      </c>
    </row>
    <row r="37" spans="1:11" ht="24.75" customHeight="1">
      <c r="A37" s="285"/>
      <c r="B37" s="285"/>
      <c r="C37" s="285"/>
      <c r="D37" s="296"/>
      <c r="E37" s="285"/>
      <c r="F37" s="296"/>
      <c r="G37" s="296"/>
      <c r="H37" s="305" t="s">
        <v>425</v>
      </c>
      <c r="I37" s="334">
        <v>100000</v>
      </c>
      <c r="J37" s="335" t="s">
        <v>259</v>
      </c>
      <c r="K37" s="304">
        <v>1200000</v>
      </c>
    </row>
    <row r="38" spans="1:11" ht="24.75" customHeight="1">
      <c r="A38" s="285"/>
      <c r="B38" s="285"/>
      <c r="C38" s="285"/>
      <c r="D38" s="296"/>
      <c r="E38" s="285"/>
      <c r="F38" s="296"/>
      <c r="G38" s="296"/>
      <c r="H38" s="308" t="s">
        <v>426</v>
      </c>
      <c r="I38" s="334">
        <v>100000</v>
      </c>
      <c r="J38" s="335" t="s">
        <v>290</v>
      </c>
      <c r="K38" s="304">
        <v>1100000</v>
      </c>
    </row>
    <row r="39" spans="1:11" ht="24.75" customHeight="1">
      <c r="A39" s="285"/>
      <c r="B39" s="285"/>
      <c r="C39" s="285"/>
      <c r="D39" s="296"/>
      <c r="E39" s="285"/>
      <c r="F39" s="296"/>
      <c r="G39" s="296"/>
      <c r="H39" s="305" t="s">
        <v>427</v>
      </c>
      <c r="I39" s="334">
        <v>100000</v>
      </c>
      <c r="J39" s="335" t="s">
        <v>259</v>
      </c>
      <c r="K39" s="304">
        <v>1200000</v>
      </c>
    </row>
    <row r="40" spans="1:11" ht="24.75" customHeight="1">
      <c r="A40" s="285"/>
      <c r="B40" s="285"/>
      <c r="C40" s="285"/>
      <c r="D40" s="296"/>
      <c r="E40" s="285"/>
      <c r="F40" s="296"/>
      <c r="G40" s="296"/>
      <c r="H40" s="305" t="s">
        <v>428</v>
      </c>
      <c r="I40" s="334">
        <v>100000</v>
      </c>
      <c r="J40" s="335" t="s">
        <v>259</v>
      </c>
      <c r="K40" s="304">
        <v>1200000</v>
      </c>
    </row>
    <row r="41" spans="1:11" ht="24.75" customHeight="1">
      <c r="A41" s="285"/>
      <c r="B41" s="285"/>
      <c r="C41" s="285"/>
      <c r="D41" s="296"/>
      <c r="E41" s="285"/>
      <c r="F41" s="296"/>
      <c r="G41" s="296"/>
      <c r="H41" s="305" t="s">
        <v>429</v>
      </c>
      <c r="I41" s="334">
        <v>100000</v>
      </c>
      <c r="J41" s="335" t="s">
        <v>290</v>
      </c>
      <c r="K41" s="304">
        <v>1100000</v>
      </c>
    </row>
    <row r="42" spans="1:11" ht="24.75" customHeight="1">
      <c r="A42" s="285"/>
      <c r="B42" s="285"/>
      <c r="C42" s="285"/>
      <c r="D42" s="296"/>
      <c r="E42" s="285"/>
      <c r="F42" s="296"/>
      <c r="G42" s="296"/>
      <c r="H42" s="305" t="s">
        <v>430</v>
      </c>
      <c r="I42" s="334">
        <v>100000</v>
      </c>
      <c r="J42" s="335" t="s">
        <v>259</v>
      </c>
      <c r="K42" s="304">
        <v>1200000</v>
      </c>
    </row>
    <row r="43" spans="1:11" ht="24.75" customHeight="1">
      <c r="A43" s="285"/>
      <c r="B43" s="285"/>
      <c r="C43" s="285"/>
      <c r="D43" s="296"/>
      <c r="E43" s="285"/>
      <c r="F43" s="296"/>
      <c r="G43" s="296"/>
      <c r="H43" s="308" t="s">
        <v>431</v>
      </c>
      <c r="I43" s="334">
        <v>100000</v>
      </c>
      <c r="J43" s="335" t="s">
        <v>259</v>
      </c>
      <c r="K43" s="304">
        <v>1200000</v>
      </c>
    </row>
    <row r="44" spans="1:11" ht="24.75" customHeight="1">
      <c r="A44" s="285"/>
      <c r="B44" s="285"/>
      <c r="C44" s="285"/>
      <c r="D44" s="296"/>
      <c r="E44" s="285"/>
      <c r="F44" s="296"/>
      <c r="G44" s="296"/>
      <c r="H44" s="315" t="s">
        <v>432</v>
      </c>
      <c r="I44" s="334">
        <v>100000</v>
      </c>
      <c r="J44" s="335" t="s">
        <v>259</v>
      </c>
      <c r="K44" s="304">
        <v>1200000</v>
      </c>
    </row>
    <row r="45" spans="1:11" ht="24.75" customHeight="1">
      <c r="A45" s="285"/>
      <c r="B45" s="285"/>
      <c r="C45" s="285"/>
      <c r="D45" s="296"/>
      <c r="E45" s="285"/>
      <c r="F45" s="296"/>
      <c r="G45" s="296"/>
      <c r="H45" s="308" t="s">
        <v>433</v>
      </c>
      <c r="I45" s="334">
        <v>100000</v>
      </c>
      <c r="J45" s="335" t="s">
        <v>259</v>
      </c>
      <c r="K45" s="304">
        <v>1200000</v>
      </c>
    </row>
    <row r="46" spans="1:11" ht="24.75" customHeight="1">
      <c r="A46" s="285"/>
      <c r="B46" s="285"/>
      <c r="C46" s="285"/>
      <c r="D46" s="296"/>
      <c r="E46" s="285"/>
      <c r="F46" s="296"/>
      <c r="G46" s="296"/>
      <c r="H46" s="308" t="s">
        <v>434</v>
      </c>
      <c r="I46" s="334">
        <v>100000</v>
      </c>
      <c r="J46" s="335" t="s">
        <v>259</v>
      </c>
      <c r="K46" s="304">
        <v>1200000</v>
      </c>
    </row>
    <row r="47" spans="1:11" ht="24.75" customHeight="1">
      <c r="A47" s="285"/>
      <c r="B47" s="285"/>
      <c r="C47" s="285"/>
      <c r="D47" s="296"/>
      <c r="E47" s="285"/>
      <c r="F47" s="296"/>
      <c r="G47" s="296"/>
      <c r="H47" s="305" t="s">
        <v>435</v>
      </c>
      <c r="I47" s="336">
        <v>100000</v>
      </c>
      <c r="J47" s="337" t="s">
        <v>259</v>
      </c>
      <c r="K47" s="304">
        <v>1200000</v>
      </c>
    </row>
    <row r="48" spans="1:11" ht="24.75" customHeight="1">
      <c r="A48" s="285"/>
      <c r="B48" s="285"/>
      <c r="C48" s="285"/>
      <c r="D48" s="296"/>
      <c r="E48" s="285"/>
      <c r="F48" s="296"/>
      <c r="G48" s="296"/>
      <c r="H48" s="305" t="s">
        <v>436</v>
      </c>
      <c r="I48" s="336">
        <v>100000</v>
      </c>
      <c r="J48" s="338" t="s">
        <v>289</v>
      </c>
      <c r="K48" s="307">
        <v>100000</v>
      </c>
    </row>
    <row r="49" spans="1:11" ht="24.75" customHeight="1" thickBot="1">
      <c r="A49" s="285"/>
      <c r="B49" s="285"/>
      <c r="C49" s="295"/>
      <c r="D49" s="296"/>
      <c r="E49" s="339"/>
      <c r="F49" s="296"/>
      <c r="G49" s="296"/>
      <c r="H49" s="340"/>
      <c r="I49" s="341"/>
      <c r="J49" s="342"/>
      <c r="K49" s="343"/>
    </row>
    <row r="50" spans="1:11" ht="14.25" thickBot="1">
      <c r="A50" s="285"/>
      <c r="B50" s="285"/>
      <c r="C50" s="295"/>
      <c r="D50" s="344">
        <v>52027840</v>
      </c>
      <c r="E50" s="325">
        <f>K50</f>
        <v>52423200</v>
      </c>
      <c r="F50" s="321"/>
      <c r="G50" s="322">
        <f>E50-D50</f>
        <v>395360</v>
      </c>
      <c r="H50" s="345" t="s">
        <v>6</v>
      </c>
      <c r="I50" s="346"/>
      <c r="J50" s="347"/>
      <c r="K50" s="348">
        <f>SUM(K51:K66)</f>
        <v>52423200</v>
      </c>
    </row>
    <row r="51" spans="1:11" ht="22.5">
      <c r="A51" s="285"/>
      <c r="B51" s="285"/>
      <c r="C51" s="295"/>
      <c r="D51" s="296"/>
      <c r="E51" s="297"/>
      <c r="F51" s="296"/>
      <c r="G51" s="296"/>
      <c r="H51" s="305" t="s">
        <v>422</v>
      </c>
      <c r="I51" s="309" t="s">
        <v>291</v>
      </c>
      <c r="J51" s="314" t="s">
        <v>292</v>
      </c>
      <c r="K51" s="310">
        <v>5688060</v>
      </c>
    </row>
    <row r="52" spans="1:11" ht="24.95" customHeight="1">
      <c r="A52" s="285"/>
      <c r="B52" s="285"/>
      <c r="C52" s="295"/>
      <c r="D52" s="296"/>
      <c r="E52" s="285"/>
      <c r="F52" s="296"/>
      <c r="G52" s="296"/>
      <c r="H52" s="305" t="s">
        <v>423</v>
      </c>
      <c r="I52" s="309" t="s">
        <v>293</v>
      </c>
      <c r="J52" s="314" t="s">
        <v>294</v>
      </c>
      <c r="K52" s="310">
        <v>4996260</v>
      </c>
    </row>
    <row r="53" spans="1:11" ht="24.95" customHeight="1">
      <c r="A53" s="285"/>
      <c r="B53" s="285"/>
      <c r="C53" s="295"/>
      <c r="D53" s="296"/>
      <c r="E53" s="285"/>
      <c r="F53" s="296"/>
      <c r="G53" s="296"/>
      <c r="H53" s="305" t="s">
        <v>424</v>
      </c>
      <c r="I53" s="309" t="s">
        <v>295</v>
      </c>
      <c r="J53" s="314" t="s">
        <v>296</v>
      </c>
      <c r="K53" s="310">
        <v>4647680</v>
      </c>
    </row>
    <row r="54" spans="1:11" ht="24.95" customHeight="1">
      <c r="A54" s="285"/>
      <c r="B54" s="285"/>
      <c r="C54" s="295"/>
      <c r="D54" s="296"/>
      <c r="E54" s="285"/>
      <c r="F54" s="296"/>
      <c r="G54" s="296"/>
      <c r="H54" s="305" t="s">
        <v>425</v>
      </c>
      <c r="I54" s="309" t="s">
        <v>297</v>
      </c>
      <c r="J54" s="314" t="s">
        <v>298</v>
      </c>
      <c r="K54" s="310">
        <v>4805060</v>
      </c>
    </row>
    <row r="55" spans="1:11" ht="24.95" customHeight="1">
      <c r="A55" s="285"/>
      <c r="B55" s="285"/>
      <c r="C55" s="295"/>
      <c r="D55" s="296"/>
      <c r="E55" s="285"/>
      <c r="F55" s="296"/>
      <c r="G55" s="296"/>
      <c r="H55" s="308" t="s">
        <v>426</v>
      </c>
      <c r="I55" s="311">
        <v>2504000</v>
      </c>
      <c r="J55" s="314" t="s">
        <v>299</v>
      </c>
      <c r="K55" s="310">
        <v>2965160</v>
      </c>
    </row>
    <row r="56" spans="1:11" ht="24.95" customHeight="1">
      <c r="A56" s="285"/>
      <c r="B56" s="285"/>
      <c r="C56" s="295"/>
      <c r="D56" s="296"/>
      <c r="E56" s="285"/>
      <c r="F56" s="296"/>
      <c r="G56" s="296"/>
      <c r="H56" s="305" t="s">
        <v>427</v>
      </c>
      <c r="I56" s="311">
        <v>2504000</v>
      </c>
      <c r="J56" s="314" t="s">
        <v>300</v>
      </c>
      <c r="K56" s="310">
        <v>3234720</v>
      </c>
    </row>
    <row r="57" spans="1:11" ht="24.95" customHeight="1">
      <c r="A57" s="285"/>
      <c r="B57" s="285"/>
      <c r="C57" s="295"/>
      <c r="D57" s="296"/>
      <c r="E57" s="285"/>
      <c r="F57" s="296"/>
      <c r="G57" s="296"/>
      <c r="H57" s="305" t="s">
        <v>428</v>
      </c>
      <c r="I57" s="309" t="s">
        <v>301</v>
      </c>
      <c r="J57" s="314" t="s">
        <v>302</v>
      </c>
      <c r="K57" s="310">
        <v>3407040</v>
      </c>
    </row>
    <row r="58" spans="1:11" ht="24.95" customHeight="1">
      <c r="A58" s="285"/>
      <c r="B58" s="285"/>
      <c r="C58" s="295"/>
      <c r="D58" s="296"/>
      <c r="E58" s="285"/>
      <c r="F58" s="296"/>
      <c r="G58" s="296"/>
      <c r="H58" s="305" t="s">
        <v>429</v>
      </c>
      <c r="I58" s="311" t="s">
        <v>303</v>
      </c>
      <c r="J58" s="314" t="s">
        <v>304</v>
      </c>
      <c r="K58" s="310">
        <v>2792610</v>
      </c>
    </row>
    <row r="59" spans="1:11" ht="24.95" customHeight="1">
      <c r="A59" s="285"/>
      <c r="B59" s="285"/>
      <c r="C59" s="295"/>
      <c r="D59" s="296"/>
      <c r="E59" s="285"/>
      <c r="F59" s="296"/>
      <c r="G59" s="296"/>
      <c r="H59" s="305" t="s">
        <v>430</v>
      </c>
      <c r="I59" s="311" t="s">
        <v>305</v>
      </c>
      <c r="J59" s="314" t="s">
        <v>306</v>
      </c>
      <c r="K59" s="310">
        <v>2946580</v>
      </c>
    </row>
    <row r="60" spans="1:11" ht="22.5">
      <c r="A60" s="285"/>
      <c r="B60" s="285"/>
      <c r="C60" s="295"/>
      <c r="D60" s="296"/>
      <c r="E60" s="285"/>
      <c r="F60" s="296"/>
      <c r="G60" s="296"/>
      <c r="H60" s="308" t="s">
        <v>431</v>
      </c>
      <c r="I60" s="309" t="s">
        <v>307</v>
      </c>
      <c r="J60" s="314" t="s">
        <v>308</v>
      </c>
      <c r="K60" s="310">
        <v>3408280</v>
      </c>
    </row>
    <row r="61" spans="1:11" ht="24.95" customHeight="1">
      <c r="A61" s="285"/>
      <c r="B61" s="285"/>
      <c r="C61" s="295"/>
      <c r="D61" s="296"/>
      <c r="E61" s="285"/>
      <c r="F61" s="296"/>
      <c r="G61" s="296"/>
      <c r="H61" s="315" t="s">
        <v>432</v>
      </c>
      <c r="I61" s="311">
        <v>2798000</v>
      </c>
      <c r="J61" s="314" t="s">
        <v>309</v>
      </c>
      <c r="K61" s="310">
        <v>3614640</v>
      </c>
    </row>
    <row r="62" spans="1:11" ht="22.5">
      <c r="A62" s="285"/>
      <c r="B62" s="285"/>
      <c r="C62" s="295"/>
      <c r="D62" s="296"/>
      <c r="E62" s="285"/>
      <c r="F62" s="296"/>
      <c r="G62" s="296"/>
      <c r="H62" s="308" t="s">
        <v>433</v>
      </c>
      <c r="I62" s="309" t="s">
        <v>310</v>
      </c>
      <c r="J62" s="314" t="s">
        <v>311</v>
      </c>
      <c r="K62" s="310">
        <v>3350460</v>
      </c>
    </row>
    <row r="63" spans="1:11" ht="22.5">
      <c r="A63" s="285"/>
      <c r="B63" s="285"/>
      <c r="C63" s="295"/>
      <c r="D63" s="296"/>
      <c r="E63" s="285"/>
      <c r="F63" s="296"/>
      <c r="G63" s="296"/>
      <c r="H63" s="308" t="s">
        <v>434</v>
      </c>
      <c r="I63" s="309" t="s">
        <v>312</v>
      </c>
      <c r="J63" s="314" t="s">
        <v>313</v>
      </c>
      <c r="K63" s="310">
        <v>3360120</v>
      </c>
    </row>
    <row r="64" spans="1:11" ht="24.95" customHeight="1">
      <c r="A64" s="285"/>
      <c r="B64" s="285"/>
      <c r="C64" s="295"/>
      <c r="D64" s="296"/>
      <c r="E64" s="285"/>
      <c r="F64" s="296"/>
      <c r="G64" s="296"/>
      <c r="H64" s="305" t="s">
        <v>435</v>
      </c>
      <c r="I64" s="311" t="s">
        <v>314</v>
      </c>
      <c r="J64" s="314" t="s">
        <v>315</v>
      </c>
      <c r="K64" s="310">
        <v>2956560</v>
      </c>
    </row>
    <row r="65" spans="1:11" ht="24.95" customHeight="1">
      <c r="A65" s="285"/>
      <c r="B65" s="285"/>
      <c r="C65" s="295"/>
      <c r="D65" s="296"/>
      <c r="E65" s="285"/>
      <c r="F65" s="296"/>
      <c r="G65" s="296"/>
      <c r="H65" s="305" t="s">
        <v>436</v>
      </c>
      <c r="I65" s="311">
        <v>2322000</v>
      </c>
      <c r="J65" s="314" t="s">
        <v>316</v>
      </c>
      <c r="K65" s="310">
        <v>249970</v>
      </c>
    </row>
    <row r="66" spans="1:11" ht="24.95" customHeight="1" thickBot="1">
      <c r="A66" s="285"/>
      <c r="B66" s="285"/>
      <c r="C66" s="295"/>
      <c r="D66" s="296"/>
      <c r="E66" s="285"/>
      <c r="F66" s="296"/>
      <c r="G66" s="296"/>
      <c r="H66" s="308"/>
      <c r="I66" s="309"/>
      <c r="J66" s="314"/>
      <c r="K66" s="319"/>
    </row>
    <row r="67" spans="1:11" ht="14.25" thickBot="1">
      <c r="A67" s="285"/>
      <c r="B67" s="285"/>
      <c r="C67" s="295"/>
      <c r="D67" s="344">
        <v>8820000</v>
      </c>
      <c r="E67" s="325">
        <f>K67</f>
        <v>8340000</v>
      </c>
      <c r="F67" s="321"/>
      <c r="G67" s="322">
        <f>E67-D67</f>
        <v>-480000</v>
      </c>
      <c r="H67" s="345" t="s">
        <v>5</v>
      </c>
      <c r="I67" s="346"/>
      <c r="J67" s="347"/>
      <c r="K67" s="348">
        <f>SUM(K68:K79)</f>
        <v>8340000</v>
      </c>
    </row>
    <row r="68" spans="1:11" ht="24.6" customHeight="1">
      <c r="A68" s="285"/>
      <c r="B68" s="285"/>
      <c r="C68" s="295"/>
      <c r="D68" s="296"/>
      <c r="E68" s="285"/>
      <c r="F68" s="296"/>
      <c r="G68" s="296"/>
      <c r="H68" s="510" t="s">
        <v>421</v>
      </c>
      <c r="I68" s="1515" t="s">
        <v>317</v>
      </c>
      <c r="J68" s="1516"/>
      <c r="K68" s="439">
        <v>960000</v>
      </c>
    </row>
    <row r="69" spans="1:11" ht="24.6" customHeight="1">
      <c r="A69" s="285"/>
      <c r="B69" s="285"/>
      <c r="C69" s="295"/>
      <c r="D69" s="296"/>
      <c r="E69" s="285"/>
      <c r="F69" s="296"/>
      <c r="G69" s="296"/>
      <c r="H69" s="308" t="s">
        <v>422</v>
      </c>
      <c r="I69" s="1489" t="s">
        <v>318</v>
      </c>
      <c r="J69" s="1490"/>
      <c r="K69" s="439">
        <v>480000</v>
      </c>
    </row>
    <row r="70" spans="1:11" ht="24.6" customHeight="1">
      <c r="A70" s="285"/>
      <c r="B70" s="285"/>
      <c r="C70" s="295"/>
      <c r="D70" s="296"/>
      <c r="E70" s="285"/>
      <c r="F70" s="296"/>
      <c r="G70" s="296"/>
      <c r="H70" s="308" t="s">
        <v>423</v>
      </c>
      <c r="I70" s="1489" t="s">
        <v>319</v>
      </c>
      <c r="J70" s="1490"/>
      <c r="K70" s="440">
        <v>480000</v>
      </c>
    </row>
    <row r="71" spans="1:11" ht="24.6" customHeight="1">
      <c r="A71" s="285"/>
      <c r="B71" s="285"/>
      <c r="C71" s="295"/>
      <c r="D71" s="296"/>
      <c r="E71" s="285"/>
      <c r="F71" s="296"/>
      <c r="G71" s="296"/>
      <c r="H71" s="308" t="s">
        <v>424</v>
      </c>
      <c r="I71" s="1487" t="s">
        <v>320</v>
      </c>
      <c r="J71" s="1488"/>
      <c r="K71" s="440">
        <v>720000</v>
      </c>
    </row>
    <row r="72" spans="1:11" ht="24.6" customHeight="1">
      <c r="A72" s="285"/>
      <c r="B72" s="285"/>
      <c r="C72" s="295"/>
      <c r="D72" s="296"/>
      <c r="E72" s="285"/>
      <c r="F72" s="296"/>
      <c r="G72" s="296"/>
      <c r="H72" s="308" t="s">
        <v>425</v>
      </c>
      <c r="I72" s="1487" t="s">
        <v>320</v>
      </c>
      <c r="J72" s="1488"/>
      <c r="K72" s="440">
        <v>720000</v>
      </c>
    </row>
    <row r="73" spans="1:11" ht="24.6" customHeight="1">
      <c r="A73" s="285"/>
      <c r="B73" s="285"/>
      <c r="C73" s="295"/>
      <c r="D73" s="296"/>
      <c r="E73" s="285"/>
      <c r="F73" s="296"/>
      <c r="G73" s="296"/>
      <c r="H73" s="308" t="s">
        <v>427</v>
      </c>
      <c r="I73" s="1487" t="s">
        <v>321</v>
      </c>
      <c r="J73" s="1488"/>
      <c r="K73" s="440">
        <v>1920000</v>
      </c>
    </row>
    <row r="74" spans="1:11" ht="24.6" customHeight="1">
      <c r="A74" s="285"/>
      <c r="B74" s="285"/>
      <c r="C74" s="295"/>
      <c r="D74" s="296"/>
      <c r="E74" s="285"/>
      <c r="F74" s="296"/>
      <c r="G74" s="296"/>
      <c r="H74" s="308" t="s">
        <v>429</v>
      </c>
      <c r="I74" s="1487" t="s">
        <v>322</v>
      </c>
      <c r="J74" s="1488"/>
      <c r="K74" s="440">
        <v>660000</v>
      </c>
    </row>
    <row r="75" spans="1:11" ht="24.6" customHeight="1">
      <c r="A75" s="285"/>
      <c r="B75" s="285"/>
      <c r="C75" s="295"/>
      <c r="D75" s="296"/>
      <c r="E75" s="285"/>
      <c r="F75" s="296"/>
      <c r="G75" s="296"/>
      <c r="H75" s="308" t="s">
        <v>430</v>
      </c>
      <c r="I75" s="1487" t="s">
        <v>323</v>
      </c>
      <c r="J75" s="1488"/>
      <c r="K75" s="440">
        <v>960000</v>
      </c>
    </row>
    <row r="76" spans="1:11" ht="24.6" customHeight="1">
      <c r="A76" s="285"/>
      <c r="B76" s="285"/>
      <c r="C76" s="295"/>
      <c r="D76" s="296"/>
      <c r="E76" s="285"/>
      <c r="F76" s="296"/>
      <c r="G76" s="296"/>
      <c r="H76" s="308" t="s">
        <v>431</v>
      </c>
      <c r="I76" s="1487" t="s">
        <v>320</v>
      </c>
      <c r="J76" s="1488"/>
      <c r="K76" s="440">
        <v>720000</v>
      </c>
    </row>
    <row r="77" spans="1:11" ht="24.6" customHeight="1">
      <c r="A77" s="285"/>
      <c r="B77" s="285"/>
      <c r="C77" s="295"/>
      <c r="D77" s="296"/>
      <c r="E77" s="285"/>
      <c r="F77" s="296"/>
      <c r="G77" s="296"/>
      <c r="H77" s="308" t="s">
        <v>432</v>
      </c>
      <c r="I77" s="1489" t="s">
        <v>324</v>
      </c>
      <c r="J77" s="1490"/>
      <c r="K77" s="440">
        <v>240000</v>
      </c>
    </row>
    <row r="78" spans="1:11" ht="24.6" customHeight="1">
      <c r="A78" s="285"/>
      <c r="B78" s="285"/>
      <c r="C78" s="295"/>
      <c r="D78" s="296"/>
      <c r="E78" s="285"/>
      <c r="F78" s="296"/>
      <c r="G78" s="296"/>
      <c r="H78" s="308" t="s">
        <v>434</v>
      </c>
      <c r="I78" s="1489" t="s">
        <v>325</v>
      </c>
      <c r="J78" s="1490"/>
      <c r="K78" s="440">
        <v>480000</v>
      </c>
    </row>
    <row r="79" spans="1:11" ht="24.6" customHeight="1" thickBot="1">
      <c r="A79" s="285"/>
      <c r="B79" s="285"/>
      <c r="C79" s="295"/>
      <c r="D79" s="296"/>
      <c r="E79" s="285"/>
      <c r="F79" s="296"/>
      <c r="G79" s="296"/>
      <c r="H79" s="360"/>
      <c r="I79" s="1491"/>
      <c r="J79" s="1492"/>
      <c r="K79" s="440"/>
    </row>
    <row r="80" spans="1:11" ht="13.5" customHeight="1" thickBot="1">
      <c r="A80" s="285"/>
      <c r="B80" s="285"/>
      <c r="C80" s="295"/>
      <c r="D80" s="344">
        <v>52483200</v>
      </c>
      <c r="E80" s="325">
        <f>K80</f>
        <v>53166000</v>
      </c>
      <c r="F80" s="321"/>
      <c r="G80" s="322">
        <f>E80-D80</f>
        <v>682800</v>
      </c>
      <c r="H80" s="345" t="s">
        <v>7</v>
      </c>
      <c r="I80" s="346"/>
      <c r="J80" s="347"/>
      <c r="K80" s="348">
        <f>SUM(K81:K96)</f>
        <v>53166000</v>
      </c>
    </row>
    <row r="81" spans="1:11" ht="24.95" customHeight="1">
      <c r="A81" s="285"/>
      <c r="B81" s="285"/>
      <c r="C81" s="295"/>
      <c r="D81" s="296"/>
      <c r="E81" s="285"/>
      <c r="F81" s="296"/>
      <c r="G81" s="296"/>
      <c r="H81" s="301" t="s">
        <v>421</v>
      </c>
      <c r="I81" s="351">
        <v>4949000</v>
      </c>
      <c r="J81" s="314" t="s">
        <v>326</v>
      </c>
      <c r="K81" s="350">
        <v>5938800</v>
      </c>
    </row>
    <row r="82" spans="1:11" ht="24.95" customHeight="1">
      <c r="A82" s="285"/>
      <c r="B82" s="285"/>
      <c r="C82" s="295"/>
      <c r="D82" s="296"/>
      <c r="E82" s="285"/>
      <c r="F82" s="296"/>
      <c r="G82" s="296"/>
      <c r="H82" s="305" t="s">
        <v>422</v>
      </c>
      <c r="I82" s="309" t="s">
        <v>262</v>
      </c>
      <c r="J82" s="314" t="s">
        <v>327</v>
      </c>
      <c r="K82" s="310">
        <v>5163600</v>
      </c>
    </row>
    <row r="83" spans="1:11" ht="24.95" customHeight="1">
      <c r="A83" s="285"/>
      <c r="B83" s="285"/>
      <c r="C83" s="295"/>
      <c r="D83" s="296"/>
      <c r="E83" s="285"/>
      <c r="F83" s="296"/>
      <c r="G83" s="296"/>
      <c r="H83" s="305" t="s">
        <v>423</v>
      </c>
      <c r="I83" s="309" t="s">
        <v>263</v>
      </c>
      <c r="J83" s="314" t="s">
        <v>328</v>
      </c>
      <c r="K83" s="310">
        <v>4521000</v>
      </c>
    </row>
    <row r="84" spans="1:11" ht="24.95" customHeight="1">
      <c r="A84" s="285"/>
      <c r="B84" s="285"/>
      <c r="C84" s="295"/>
      <c r="D84" s="296"/>
      <c r="E84" s="285"/>
      <c r="F84" s="296"/>
      <c r="G84" s="296"/>
      <c r="H84" s="305" t="s">
        <v>424</v>
      </c>
      <c r="I84" s="309" t="s">
        <v>264</v>
      </c>
      <c r="J84" s="314" t="s">
        <v>329</v>
      </c>
      <c r="K84" s="310">
        <v>4211400</v>
      </c>
    </row>
    <row r="85" spans="1:11" ht="24.95" customHeight="1">
      <c r="A85" s="285"/>
      <c r="B85" s="285"/>
      <c r="C85" s="295"/>
      <c r="D85" s="296"/>
      <c r="E85" s="285"/>
      <c r="F85" s="296"/>
      <c r="G85" s="296"/>
      <c r="H85" s="305" t="s">
        <v>425</v>
      </c>
      <c r="I85" s="311">
        <v>3614000</v>
      </c>
      <c r="J85" s="314" t="s">
        <v>330</v>
      </c>
      <c r="K85" s="310">
        <v>4336800</v>
      </c>
    </row>
    <row r="86" spans="1:11" ht="24.95" customHeight="1">
      <c r="A86" s="285"/>
      <c r="B86" s="285"/>
      <c r="C86" s="295"/>
      <c r="D86" s="296"/>
      <c r="E86" s="285"/>
      <c r="F86" s="296"/>
      <c r="G86" s="296"/>
      <c r="H86" s="308" t="s">
        <v>426</v>
      </c>
      <c r="I86" s="311">
        <v>2404000</v>
      </c>
      <c r="J86" s="314" t="s">
        <v>331</v>
      </c>
      <c r="K86" s="310">
        <v>2884800</v>
      </c>
    </row>
    <row r="87" spans="1:11" ht="24.95" customHeight="1">
      <c r="A87" s="285"/>
      <c r="B87" s="285"/>
      <c r="C87" s="295"/>
      <c r="D87" s="296"/>
      <c r="E87" s="285"/>
      <c r="F87" s="296"/>
      <c r="G87" s="296"/>
      <c r="H87" s="305" t="s">
        <v>427</v>
      </c>
      <c r="I87" s="311">
        <v>2404000</v>
      </c>
      <c r="J87" s="314" t="s">
        <v>331</v>
      </c>
      <c r="K87" s="310">
        <v>2884800</v>
      </c>
    </row>
    <row r="88" spans="1:11" ht="24.95" customHeight="1">
      <c r="A88" s="285"/>
      <c r="B88" s="285"/>
      <c r="C88" s="295"/>
      <c r="D88" s="296"/>
      <c r="E88" s="285"/>
      <c r="F88" s="296"/>
      <c r="G88" s="296"/>
      <c r="H88" s="305" t="s">
        <v>428</v>
      </c>
      <c r="I88" s="309" t="s">
        <v>266</v>
      </c>
      <c r="J88" s="314" t="s">
        <v>332</v>
      </c>
      <c r="K88" s="310">
        <v>3030600</v>
      </c>
    </row>
    <row r="89" spans="1:11" ht="24.95" customHeight="1">
      <c r="A89" s="285"/>
      <c r="B89" s="285"/>
      <c r="C89" s="295"/>
      <c r="D89" s="296"/>
      <c r="E89" s="285"/>
      <c r="F89" s="296"/>
      <c r="G89" s="296"/>
      <c r="H89" s="305" t="s">
        <v>429</v>
      </c>
      <c r="I89" s="311">
        <v>2251000</v>
      </c>
      <c r="J89" s="314" t="s">
        <v>333</v>
      </c>
      <c r="K89" s="310">
        <v>2701200</v>
      </c>
    </row>
    <row r="90" spans="1:11" ht="24.95" customHeight="1">
      <c r="A90" s="285"/>
      <c r="B90" s="285"/>
      <c r="C90" s="295"/>
      <c r="D90" s="296"/>
      <c r="E90" s="285"/>
      <c r="F90" s="296"/>
      <c r="G90" s="296"/>
      <c r="H90" s="305" t="s">
        <v>430</v>
      </c>
      <c r="I90" s="311">
        <v>2180000</v>
      </c>
      <c r="J90" s="314" t="s">
        <v>334</v>
      </c>
      <c r="K90" s="310">
        <v>2616000</v>
      </c>
    </row>
    <row r="91" spans="1:11" ht="24.95" customHeight="1">
      <c r="A91" s="285"/>
      <c r="B91" s="285"/>
      <c r="C91" s="295"/>
      <c r="D91" s="296"/>
      <c r="E91" s="285"/>
      <c r="F91" s="296"/>
      <c r="G91" s="296"/>
      <c r="H91" s="308" t="s">
        <v>431</v>
      </c>
      <c r="I91" s="311">
        <v>2524000</v>
      </c>
      <c r="J91" s="314" t="s">
        <v>335</v>
      </c>
      <c r="K91" s="310">
        <v>3028800</v>
      </c>
    </row>
    <row r="92" spans="1:11" ht="24.95" customHeight="1">
      <c r="A92" s="285"/>
      <c r="B92" s="285"/>
      <c r="C92" s="295"/>
      <c r="D92" s="296"/>
      <c r="E92" s="285"/>
      <c r="F92" s="296"/>
      <c r="G92" s="296"/>
      <c r="H92" s="315" t="s">
        <v>432</v>
      </c>
      <c r="I92" s="311">
        <v>2698000</v>
      </c>
      <c r="J92" s="314" t="s">
        <v>336</v>
      </c>
      <c r="K92" s="310">
        <v>3237600</v>
      </c>
    </row>
    <row r="93" spans="1:11" ht="24.95" customHeight="1">
      <c r="A93" s="285"/>
      <c r="B93" s="285"/>
      <c r="C93" s="295"/>
      <c r="D93" s="296"/>
      <c r="E93" s="285"/>
      <c r="F93" s="296"/>
      <c r="G93" s="296"/>
      <c r="H93" s="308" t="s">
        <v>433</v>
      </c>
      <c r="I93" s="311" t="s">
        <v>270</v>
      </c>
      <c r="J93" s="314" t="s">
        <v>337</v>
      </c>
      <c r="K93" s="310">
        <v>2985000</v>
      </c>
    </row>
    <row r="94" spans="1:11" ht="24.95" customHeight="1">
      <c r="A94" s="285"/>
      <c r="B94" s="285"/>
      <c r="C94" s="295"/>
      <c r="D94" s="296"/>
      <c r="E94" s="285"/>
      <c r="F94" s="296"/>
      <c r="G94" s="296"/>
      <c r="H94" s="308" t="s">
        <v>434</v>
      </c>
      <c r="I94" s="311" t="s">
        <v>271</v>
      </c>
      <c r="J94" s="314" t="s">
        <v>338</v>
      </c>
      <c r="K94" s="310">
        <v>3001200</v>
      </c>
    </row>
    <row r="95" spans="1:11" ht="24.95" customHeight="1">
      <c r="A95" s="285"/>
      <c r="B95" s="285"/>
      <c r="C95" s="295"/>
      <c r="D95" s="296"/>
      <c r="E95" s="285"/>
      <c r="F95" s="296"/>
      <c r="G95" s="296"/>
      <c r="H95" s="305" t="s">
        <v>435</v>
      </c>
      <c r="I95" s="311">
        <v>2187000</v>
      </c>
      <c r="J95" s="314" t="s">
        <v>339</v>
      </c>
      <c r="K95" s="310">
        <v>2624400</v>
      </c>
    </row>
    <row r="96" spans="1:11" ht="24.95" customHeight="1" thickBot="1">
      <c r="A96" s="285"/>
      <c r="B96" s="285"/>
      <c r="C96" s="295"/>
      <c r="D96" s="296"/>
      <c r="E96" s="285"/>
      <c r="F96" s="296"/>
      <c r="G96" s="296"/>
      <c r="H96" s="305"/>
      <c r="I96" s="311"/>
      <c r="J96" s="314"/>
      <c r="K96" s="319"/>
    </row>
    <row r="97" spans="1:11" ht="14.25" thickBot="1">
      <c r="A97" s="285"/>
      <c r="B97" s="285"/>
      <c r="C97" s="296"/>
      <c r="D97" s="344">
        <v>2400000</v>
      </c>
      <c r="E97" s="325">
        <f>K97</f>
        <v>2400000</v>
      </c>
      <c r="F97" s="321"/>
      <c r="G97" s="322">
        <f>E97-D97</f>
        <v>0</v>
      </c>
      <c r="H97" s="345" t="s">
        <v>8</v>
      </c>
      <c r="I97" s="346"/>
      <c r="J97" s="347"/>
      <c r="K97" s="348">
        <f>SUM(K98)</f>
        <v>2400000</v>
      </c>
    </row>
    <row r="98" spans="1:11" ht="24.95" customHeight="1" thickBot="1">
      <c r="A98" s="285"/>
      <c r="B98" s="285"/>
      <c r="C98" s="295"/>
      <c r="D98" s="296"/>
      <c r="E98" s="285"/>
      <c r="F98" s="296"/>
      <c r="G98" s="296"/>
      <c r="H98" s="352" t="s">
        <v>10</v>
      </c>
      <c r="I98" s="353" t="s">
        <v>103</v>
      </c>
      <c r="J98" s="354"/>
      <c r="K98" s="355">
        <v>2400000</v>
      </c>
    </row>
    <row r="99" spans="1:11" ht="24.95" customHeight="1" thickBot="1">
      <c r="A99" s="285"/>
      <c r="B99" s="285"/>
      <c r="C99" s="296"/>
      <c r="D99" s="344">
        <v>4310000</v>
      </c>
      <c r="E99" s="325">
        <f>K99</f>
        <v>4310000</v>
      </c>
      <c r="F99" s="296"/>
      <c r="G99" s="322">
        <f>E99-D99</f>
        <v>0</v>
      </c>
      <c r="H99" s="345" t="s">
        <v>9</v>
      </c>
      <c r="I99" s="346"/>
      <c r="J99" s="347"/>
      <c r="K99" s="348">
        <f>SUM(K100:K101)</f>
        <v>4310000</v>
      </c>
    </row>
    <row r="100" spans="1:11" ht="24.6" customHeight="1">
      <c r="A100" s="285"/>
      <c r="B100" s="285"/>
      <c r="C100" s="295"/>
      <c r="D100" s="296"/>
      <c r="E100" s="285"/>
      <c r="F100" s="296"/>
      <c r="G100" s="296"/>
      <c r="H100" s="511" t="s">
        <v>104</v>
      </c>
      <c r="I100" s="356"/>
      <c r="J100" s="442" t="s">
        <v>105</v>
      </c>
      <c r="K100" s="355">
        <v>2310000</v>
      </c>
    </row>
    <row r="101" spans="1:11" ht="24.6" customHeight="1" thickBot="1">
      <c r="A101" s="285"/>
      <c r="B101" s="285"/>
      <c r="C101" s="295"/>
      <c r="D101" s="296"/>
      <c r="E101" s="285"/>
      <c r="F101" s="296"/>
      <c r="G101" s="296"/>
      <c r="H101" s="512" t="s">
        <v>106</v>
      </c>
      <c r="I101" s="357"/>
      <c r="J101" s="441" t="s">
        <v>107</v>
      </c>
      <c r="K101" s="355">
        <v>2000000</v>
      </c>
    </row>
    <row r="102" spans="1:11" ht="14.25" thickBot="1">
      <c r="A102" s="285"/>
      <c r="B102" s="285"/>
      <c r="C102" s="296"/>
      <c r="D102" s="344">
        <v>54952600</v>
      </c>
      <c r="E102" s="325">
        <f>K102</f>
        <v>55338560</v>
      </c>
      <c r="F102" s="296"/>
      <c r="G102" s="322">
        <f>E102-D102</f>
        <v>385960</v>
      </c>
      <c r="H102" s="345" t="s">
        <v>108</v>
      </c>
      <c r="I102" s="346"/>
      <c r="J102" s="347"/>
      <c r="K102" s="348">
        <f>SUM(K103:K119)</f>
        <v>55338560</v>
      </c>
    </row>
    <row r="103" spans="1:11" ht="24.95" customHeight="1">
      <c r="A103" s="285"/>
      <c r="B103" s="285"/>
      <c r="C103" s="295"/>
      <c r="D103" s="296"/>
      <c r="E103" s="285"/>
      <c r="F103" s="296"/>
      <c r="G103" s="296"/>
      <c r="H103" s="301" t="s">
        <v>421</v>
      </c>
      <c r="I103" s="358">
        <v>69966800</v>
      </c>
      <c r="J103" s="314" t="s">
        <v>340</v>
      </c>
      <c r="K103" s="350">
        <v>5828280</v>
      </c>
    </row>
    <row r="104" spans="1:11" ht="24.95" customHeight="1">
      <c r="A104" s="285"/>
      <c r="B104" s="285"/>
      <c r="C104" s="295"/>
      <c r="D104" s="296"/>
      <c r="E104" s="285"/>
      <c r="F104" s="296"/>
      <c r="G104" s="296"/>
      <c r="H104" s="305" t="s">
        <v>422</v>
      </c>
      <c r="I104" s="358">
        <v>64167660</v>
      </c>
      <c r="J104" s="314" t="s">
        <v>341</v>
      </c>
      <c r="K104" s="310">
        <v>5345150</v>
      </c>
    </row>
    <row r="105" spans="1:11" ht="24.95" customHeight="1">
      <c r="A105" s="285"/>
      <c r="B105" s="285"/>
      <c r="C105" s="295"/>
      <c r="D105" s="296"/>
      <c r="E105" s="285"/>
      <c r="F105" s="296"/>
      <c r="G105" s="296"/>
      <c r="H105" s="305" t="s">
        <v>423</v>
      </c>
      <c r="I105" s="358">
        <v>56407260</v>
      </c>
      <c r="J105" s="314" t="s">
        <v>342</v>
      </c>
      <c r="K105" s="310">
        <v>4698750</v>
      </c>
    </row>
    <row r="106" spans="1:11" ht="24.95" customHeight="1">
      <c r="A106" s="285"/>
      <c r="B106" s="285"/>
      <c r="C106" s="295"/>
      <c r="D106" s="296"/>
      <c r="E106" s="285"/>
      <c r="F106" s="296"/>
      <c r="G106" s="296"/>
      <c r="H106" s="305" t="s">
        <v>424</v>
      </c>
      <c r="I106" s="358">
        <v>52751080</v>
      </c>
      <c r="J106" s="314" t="s">
        <v>343</v>
      </c>
      <c r="K106" s="310">
        <v>4394130</v>
      </c>
    </row>
    <row r="107" spans="1:11" ht="24.95" customHeight="1">
      <c r="A107" s="285"/>
      <c r="B107" s="285"/>
      <c r="C107" s="295"/>
      <c r="D107" s="296"/>
      <c r="E107" s="285"/>
      <c r="F107" s="296"/>
      <c r="G107" s="296"/>
      <c r="H107" s="305" t="s">
        <v>425</v>
      </c>
      <c r="I107" s="358">
        <v>54495860</v>
      </c>
      <c r="J107" s="314" t="s">
        <v>344</v>
      </c>
      <c r="K107" s="310">
        <v>4539510</v>
      </c>
    </row>
    <row r="108" spans="1:11" ht="24.95" customHeight="1">
      <c r="A108" s="285"/>
      <c r="B108" s="285"/>
      <c r="C108" s="295"/>
      <c r="D108" s="296"/>
      <c r="E108" s="285"/>
      <c r="F108" s="296"/>
      <c r="G108" s="296"/>
      <c r="H108" s="308" t="s">
        <v>426</v>
      </c>
      <c r="I108" s="358">
        <v>33393960</v>
      </c>
      <c r="J108" s="314" t="s">
        <v>345</v>
      </c>
      <c r="K108" s="310">
        <v>2781740</v>
      </c>
    </row>
    <row r="109" spans="1:11" ht="24.95" customHeight="1">
      <c r="A109" s="285"/>
      <c r="B109" s="285"/>
      <c r="C109" s="295"/>
      <c r="D109" s="296"/>
      <c r="E109" s="285"/>
      <c r="F109" s="296"/>
      <c r="G109" s="296"/>
      <c r="H109" s="305" t="s">
        <v>427</v>
      </c>
      <c r="I109" s="358">
        <v>38087520</v>
      </c>
      <c r="J109" s="314" t="s">
        <v>346</v>
      </c>
      <c r="K109" s="310">
        <v>3172740</v>
      </c>
    </row>
    <row r="110" spans="1:11" ht="24.95" customHeight="1">
      <c r="A110" s="285"/>
      <c r="B110" s="285"/>
      <c r="C110" s="295"/>
      <c r="D110" s="296"/>
      <c r="E110" s="285"/>
      <c r="F110" s="296"/>
      <c r="G110" s="296"/>
      <c r="H110" s="305" t="s">
        <v>428</v>
      </c>
      <c r="I110" s="358">
        <v>38085640</v>
      </c>
      <c r="J110" s="314" t="s">
        <v>347</v>
      </c>
      <c r="K110" s="310">
        <v>3172490</v>
      </c>
    </row>
    <row r="111" spans="1:11" ht="24.95" customHeight="1">
      <c r="A111" s="285"/>
      <c r="B111" s="285"/>
      <c r="C111" s="295"/>
      <c r="D111" s="296"/>
      <c r="E111" s="285"/>
      <c r="F111" s="296"/>
      <c r="G111" s="296"/>
      <c r="H111" s="305" t="s">
        <v>429</v>
      </c>
      <c r="I111" s="358">
        <v>32094810</v>
      </c>
      <c r="J111" s="314" t="s">
        <v>348</v>
      </c>
      <c r="K111" s="310">
        <v>2673500</v>
      </c>
    </row>
    <row r="112" spans="1:11" ht="24.95" customHeight="1">
      <c r="A112" s="285"/>
      <c r="B112" s="285"/>
      <c r="C112" s="295"/>
      <c r="D112" s="296"/>
      <c r="E112" s="285"/>
      <c r="F112" s="296"/>
      <c r="G112" s="296"/>
      <c r="H112" s="305" t="s">
        <v>430</v>
      </c>
      <c r="I112" s="358">
        <v>33893580</v>
      </c>
      <c r="J112" s="314" t="s">
        <v>349</v>
      </c>
      <c r="K112" s="310">
        <v>2823300</v>
      </c>
    </row>
    <row r="113" spans="1:11" ht="24.95" customHeight="1">
      <c r="A113" s="285"/>
      <c r="B113" s="285"/>
      <c r="C113" s="295"/>
      <c r="D113" s="296"/>
      <c r="E113" s="285"/>
      <c r="F113" s="296"/>
      <c r="G113" s="296"/>
      <c r="H113" s="308" t="s">
        <v>431</v>
      </c>
      <c r="I113" s="358">
        <v>38817080</v>
      </c>
      <c r="J113" s="314" t="s">
        <v>350</v>
      </c>
      <c r="K113" s="310">
        <v>3233480</v>
      </c>
    </row>
    <row r="114" spans="1:11" ht="24.95" customHeight="1">
      <c r="A114" s="285"/>
      <c r="B114" s="285"/>
      <c r="C114" s="295"/>
      <c r="D114" s="296"/>
      <c r="E114" s="285"/>
      <c r="F114" s="296"/>
      <c r="G114" s="296"/>
      <c r="H114" s="315" t="s">
        <v>432</v>
      </c>
      <c r="I114" s="358">
        <v>40668240</v>
      </c>
      <c r="J114" s="314" t="s">
        <v>351</v>
      </c>
      <c r="K114" s="310">
        <v>3387660</v>
      </c>
    </row>
    <row r="115" spans="1:11" ht="24.95" customHeight="1">
      <c r="A115" s="285"/>
      <c r="B115" s="285"/>
      <c r="C115" s="295"/>
      <c r="D115" s="296"/>
      <c r="E115" s="285"/>
      <c r="F115" s="296"/>
      <c r="G115" s="296"/>
      <c r="H115" s="308" t="s">
        <v>433</v>
      </c>
      <c r="I115" s="358">
        <v>37458460</v>
      </c>
      <c r="J115" s="314" t="s">
        <v>352</v>
      </c>
      <c r="K115" s="310">
        <v>3120280</v>
      </c>
    </row>
    <row r="116" spans="1:11" ht="24.95" customHeight="1">
      <c r="A116" s="285"/>
      <c r="B116" s="285"/>
      <c r="C116" s="295"/>
      <c r="D116" s="296"/>
      <c r="E116" s="285"/>
      <c r="F116" s="296"/>
      <c r="G116" s="296"/>
      <c r="H116" s="308" t="s">
        <v>434</v>
      </c>
      <c r="I116" s="358">
        <v>38053320</v>
      </c>
      <c r="J116" s="314" t="s">
        <v>353</v>
      </c>
      <c r="K116" s="310">
        <v>3169840</v>
      </c>
    </row>
    <row r="117" spans="1:11" ht="24.95" customHeight="1">
      <c r="A117" s="285"/>
      <c r="B117" s="285"/>
      <c r="C117" s="295"/>
      <c r="D117" s="296"/>
      <c r="E117" s="285"/>
      <c r="F117" s="296"/>
      <c r="G117" s="296"/>
      <c r="H117" s="305" t="s">
        <v>435</v>
      </c>
      <c r="I117" s="358">
        <v>33044960</v>
      </c>
      <c r="J117" s="314" t="s">
        <v>354</v>
      </c>
      <c r="K117" s="310">
        <v>2783460</v>
      </c>
    </row>
    <row r="118" spans="1:11" ht="24.95" customHeight="1">
      <c r="A118" s="285"/>
      <c r="B118" s="285"/>
      <c r="C118" s="295"/>
      <c r="D118" s="296"/>
      <c r="E118" s="285"/>
      <c r="F118" s="296"/>
      <c r="G118" s="296"/>
      <c r="H118" s="305" t="s">
        <v>436</v>
      </c>
      <c r="I118" s="358">
        <v>2571970</v>
      </c>
      <c r="J118" s="314" t="s">
        <v>355</v>
      </c>
      <c r="K118" s="310">
        <v>214250</v>
      </c>
    </row>
    <row r="119" spans="1:11" ht="24.95" customHeight="1" thickBot="1">
      <c r="A119" s="285"/>
      <c r="B119" s="285"/>
      <c r="C119" s="295"/>
      <c r="D119" s="296"/>
      <c r="E119" s="285"/>
      <c r="F119" s="296"/>
      <c r="G119" s="296"/>
      <c r="H119" s="308"/>
      <c r="I119" s="358"/>
      <c r="J119" s="314"/>
      <c r="K119" s="310"/>
    </row>
    <row r="120" spans="1:11" ht="15" customHeight="1" thickBot="1">
      <c r="A120" s="285"/>
      <c r="B120" s="285"/>
      <c r="C120" s="295"/>
      <c r="D120" s="344">
        <v>64388360</v>
      </c>
      <c r="E120" s="325">
        <f>K120</f>
        <v>69656290</v>
      </c>
      <c r="F120" s="296"/>
      <c r="G120" s="322">
        <f>E120-D120</f>
        <v>5267930</v>
      </c>
      <c r="H120" s="1493" t="s">
        <v>25</v>
      </c>
      <c r="I120" s="1494"/>
      <c r="J120" s="517"/>
      <c r="K120" s="348">
        <f>SUM(K121:K124)</f>
        <v>69656290</v>
      </c>
    </row>
    <row r="121" spans="1:11" ht="24.6" customHeight="1">
      <c r="A121" s="285"/>
      <c r="B121" s="285"/>
      <c r="C121" s="295"/>
      <c r="D121" s="296"/>
      <c r="E121" s="297"/>
      <c r="F121" s="296"/>
      <c r="G121" s="296"/>
      <c r="H121" s="308" t="s">
        <v>109</v>
      </c>
      <c r="I121" s="420">
        <v>650368200</v>
      </c>
      <c r="J121" s="314" t="s">
        <v>417</v>
      </c>
      <c r="K121" s="350">
        <v>29072490</v>
      </c>
    </row>
    <row r="122" spans="1:11" ht="24.6" customHeight="1">
      <c r="A122" s="285"/>
      <c r="B122" s="285"/>
      <c r="C122" s="295"/>
      <c r="D122" s="296"/>
      <c r="E122" s="285"/>
      <c r="F122" s="296"/>
      <c r="G122" s="296"/>
      <c r="H122" s="349" t="s">
        <v>416</v>
      </c>
      <c r="I122" s="421">
        <v>650368200</v>
      </c>
      <c r="J122" s="422" t="s">
        <v>418</v>
      </c>
      <c r="K122" s="350">
        <f>22159780+2552790</f>
        <v>24712570</v>
      </c>
    </row>
    <row r="123" spans="1:11" ht="24.6" customHeight="1">
      <c r="A123" s="285"/>
      <c r="B123" s="285"/>
      <c r="C123" s="295"/>
      <c r="D123" s="296"/>
      <c r="E123" s="285"/>
      <c r="F123" s="296"/>
      <c r="G123" s="296"/>
      <c r="H123" s="308" t="s">
        <v>111</v>
      </c>
      <c r="I123" s="420">
        <v>650368200</v>
      </c>
      <c r="J123" s="314" t="s">
        <v>419</v>
      </c>
      <c r="K123" s="310">
        <v>10732530</v>
      </c>
    </row>
    <row r="124" spans="1:11" ht="24.6" customHeight="1" thickBot="1">
      <c r="A124" s="285"/>
      <c r="B124" s="285"/>
      <c r="C124" s="285"/>
      <c r="D124" s="359"/>
      <c r="E124" s="339"/>
      <c r="F124" s="296"/>
      <c r="G124" s="327"/>
      <c r="H124" s="360" t="s">
        <v>112</v>
      </c>
      <c r="I124" s="423">
        <v>650368200</v>
      </c>
      <c r="J124" s="424" t="s">
        <v>420</v>
      </c>
      <c r="K124" s="361">
        <v>5138700</v>
      </c>
    </row>
    <row r="125" spans="1:11" ht="14.25" thickBot="1">
      <c r="A125" s="285"/>
      <c r="B125" s="285"/>
      <c r="C125" s="281" t="s">
        <v>188</v>
      </c>
      <c r="D125" s="344">
        <v>73344000</v>
      </c>
      <c r="E125" s="344">
        <f>K125</f>
        <v>64359360</v>
      </c>
      <c r="F125" s="320"/>
      <c r="G125" s="322">
        <f>E125-D125</f>
        <v>-8984640</v>
      </c>
      <c r="H125" s="345" t="s">
        <v>188</v>
      </c>
      <c r="I125" s="346"/>
      <c r="J125" s="347"/>
      <c r="K125" s="348">
        <f>SUM(K126)</f>
        <v>64359360</v>
      </c>
    </row>
    <row r="126" spans="1:11" ht="53.25" customHeight="1" thickBot="1">
      <c r="A126" s="285"/>
      <c r="B126" s="285"/>
      <c r="C126" s="285"/>
      <c r="D126" s="359"/>
      <c r="E126" s="359"/>
      <c r="F126" s="359"/>
      <c r="G126" s="359"/>
      <c r="H126" s="1495" t="s">
        <v>359</v>
      </c>
      <c r="I126" s="1496"/>
      <c r="J126" s="1497"/>
      <c r="K126" s="355">
        <v>64359360</v>
      </c>
    </row>
    <row r="127" spans="1:11" ht="14.25" thickBot="1">
      <c r="A127" s="285"/>
      <c r="B127" s="285"/>
      <c r="C127" s="281" t="s">
        <v>113</v>
      </c>
      <c r="D127" s="344">
        <v>229650000</v>
      </c>
      <c r="E127" s="344">
        <f>K127</f>
        <v>282650550</v>
      </c>
      <c r="F127" s="320"/>
      <c r="G127" s="322">
        <f>E127-D127</f>
        <v>53000550</v>
      </c>
      <c r="H127" s="345" t="s">
        <v>113</v>
      </c>
      <c r="I127" s="346"/>
      <c r="J127" s="347"/>
      <c r="K127" s="348">
        <f>SUM(K128:K130)</f>
        <v>282650550</v>
      </c>
    </row>
    <row r="128" spans="1:11" ht="54.75" customHeight="1">
      <c r="A128" s="285"/>
      <c r="B128" s="285"/>
      <c r="C128" s="285"/>
      <c r="D128" s="359" t="s">
        <v>361</v>
      </c>
      <c r="E128" s="359" t="s">
        <v>362</v>
      </c>
      <c r="F128" s="359"/>
      <c r="G128" s="359"/>
      <c r="H128" s="1498" t="s">
        <v>356</v>
      </c>
      <c r="I128" s="1499"/>
      <c r="J128" s="1500"/>
      <c r="K128" s="362">
        <v>155820000</v>
      </c>
    </row>
    <row r="129" spans="1:11" ht="55.5" customHeight="1">
      <c r="A129" s="285"/>
      <c r="B129" s="285"/>
      <c r="C129" s="285"/>
      <c r="D129" s="359"/>
      <c r="E129" s="359"/>
      <c r="F129" s="359"/>
      <c r="G129" s="359"/>
      <c r="H129" s="1495" t="s">
        <v>357</v>
      </c>
      <c r="I129" s="1496"/>
      <c r="J129" s="1497"/>
      <c r="K129" s="355">
        <v>103215000</v>
      </c>
    </row>
    <row r="130" spans="1:11" ht="48" customHeight="1" thickBot="1">
      <c r="A130" s="285"/>
      <c r="B130" s="285"/>
      <c r="C130" s="285"/>
      <c r="D130" s="359"/>
      <c r="E130" s="359"/>
      <c r="F130" s="359"/>
      <c r="G130" s="359"/>
      <c r="H130" s="1495" t="s">
        <v>358</v>
      </c>
      <c r="I130" s="1496"/>
      <c r="J130" s="1497"/>
      <c r="K130" s="355">
        <v>23615550</v>
      </c>
    </row>
    <row r="131" spans="1:11" ht="14.25" hidden="1" thickBot="1">
      <c r="A131" s="285"/>
      <c r="B131" s="285"/>
      <c r="C131" s="281"/>
      <c r="D131" s="344"/>
      <c r="E131" s="325"/>
      <c r="F131" s="320"/>
      <c r="G131" s="322"/>
      <c r="H131" s="514"/>
      <c r="I131" s="516"/>
      <c r="J131" s="517"/>
      <c r="K131" s="348"/>
    </row>
    <row r="132" spans="1:11" ht="23.25" hidden="1" customHeight="1" thickBot="1">
      <c r="A132" s="285"/>
      <c r="B132" s="285"/>
      <c r="C132" s="285"/>
      <c r="D132" s="359"/>
      <c r="E132" s="285"/>
      <c r="F132" s="359"/>
      <c r="G132" s="296"/>
      <c r="H132" s="363"/>
      <c r="I132" s="1501"/>
      <c r="J132" s="1502"/>
      <c r="K132" s="355"/>
    </row>
    <row r="133" spans="1:11" ht="14.25" thickBot="1">
      <c r="A133" s="285"/>
      <c r="B133" s="285"/>
      <c r="C133" s="281" t="s">
        <v>234</v>
      </c>
      <c r="D133" s="344">
        <v>48000000</v>
      </c>
      <c r="E133" s="325">
        <f>K133</f>
        <v>32431000</v>
      </c>
      <c r="F133" s="320"/>
      <c r="G133" s="322">
        <f>E133-D133</f>
        <v>-15569000</v>
      </c>
      <c r="H133" s="345" t="s">
        <v>114</v>
      </c>
      <c r="I133" s="346"/>
      <c r="J133" s="347"/>
      <c r="K133" s="348">
        <f>K134</f>
        <v>32431000</v>
      </c>
    </row>
    <row r="134" spans="1:11" ht="59.25" customHeight="1" thickBot="1">
      <c r="A134" s="285"/>
      <c r="B134" s="285"/>
      <c r="C134" s="285"/>
      <c r="D134" s="359"/>
      <c r="E134" s="359"/>
      <c r="F134" s="359"/>
      <c r="G134" s="359"/>
      <c r="H134" s="1503" t="s">
        <v>363</v>
      </c>
      <c r="I134" s="1504"/>
      <c r="J134" s="1505"/>
      <c r="K134" s="355">
        <v>32431000</v>
      </c>
    </row>
    <row r="135" spans="1:11" ht="14.25" thickBot="1">
      <c r="A135" s="285"/>
      <c r="B135" s="285"/>
      <c r="C135" s="281" t="s">
        <v>116</v>
      </c>
      <c r="D135" s="344">
        <v>446184772</v>
      </c>
      <c r="E135" s="344">
        <f>K135</f>
        <v>429529772</v>
      </c>
      <c r="F135" s="320"/>
      <c r="G135" s="281">
        <f>E135-D135</f>
        <v>-16655000</v>
      </c>
      <c r="H135" s="345" t="s">
        <v>116</v>
      </c>
      <c r="I135" s="364"/>
      <c r="J135" s="365"/>
      <c r="K135" s="348">
        <f>K136+K138+K140</f>
        <v>429529772</v>
      </c>
    </row>
    <row r="136" spans="1:11" ht="14.25" thickBot="1">
      <c r="A136" s="285"/>
      <c r="B136" s="285"/>
      <c r="C136" s="285"/>
      <c r="D136" s="359"/>
      <c r="E136" s="359"/>
      <c r="F136" s="359"/>
      <c r="G136" s="359"/>
      <c r="H136" s="345" t="s">
        <v>117</v>
      </c>
      <c r="I136" s="346"/>
      <c r="J136" s="347"/>
      <c r="K136" s="348">
        <f>SUM(K137)</f>
        <v>161910320</v>
      </c>
    </row>
    <row r="137" spans="1:11" ht="14.25" thickBot="1">
      <c r="A137" s="285"/>
      <c r="B137" s="285"/>
      <c r="C137" s="295"/>
      <c r="D137" s="296"/>
      <c r="E137" s="285"/>
      <c r="F137" s="296"/>
      <c r="G137" s="296"/>
      <c r="H137" s="278" t="s">
        <v>118</v>
      </c>
      <c r="I137" s="366"/>
      <c r="J137" s="367"/>
      <c r="K137" s="368">
        <v>161910320</v>
      </c>
    </row>
    <row r="138" spans="1:11" ht="14.25" thickBot="1">
      <c r="A138" s="285"/>
      <c r="B138" s="285"/>
      <c r="C138" s="295"/>
      <c r="D138" s="296"/>
      <c r="E138" s="285"/>
      <c r="F138" s="296"/>
      <c r="G138" s="296"/>
      <c r="H138" s="1485" t="s">
        <v>119</v>
      </c>
      <c r="I138" s="1486"/>
      <c r="J138" s="369"/>
      <c r="K138" s="300">
        <f>K139</f>
        <v>226674452</v>
      </c>
    </row>
    <row r="139" spans="1:11" ht="14.25" thickBot="1">
      <c r="A139" s="285"/>
      <c r="B139" s="285"/>
      <c r="C139" s="295"/>
      <c r="D139" s="296"/>
      <c r="E139" s="285"/>
      <c r="F139" s="296"/>
      <c r="G139" s="296"/>
      <c r="H139" s="278" t="s">
        <v>120</v>
      </c>
      <c r="I139" s="366"/>
      <c r="J139" s="367"/>
      <c r="K139" s="368">
        <v>226674452</v>
      </c>
    </row>
    <row r="140" spans="1:11" ht="14.25" thickBot="1">
      <c r="A140" s="285"/>
      <c r="B140" s="285"/>
      <c r="C140" s="285"/>
      <c r="D140" s="359"/>
      <c r="E140" s="285"/>
      <c r="F140" s="296"/>
      <c r="G140" s="359"/>
      <c r="H140" s="293" t="s">
        <v>121</v>
      </c>
      <c r="I140" s="298"/>
      <c r="J140" s="299"/>
      <c r="K140" s="370">
        <f>SUM(K141:K144)</f>
        <v>40945000</v>
      </c>
    </row>
    <row r="141" spans="1:11">
      <c r="A141" s="285"/>
      <c r="B141" s="285"/>
      <c r="C141" s="295"/>
      <c r="D141" s="296"/>
      <c r="E141" s="285"/>
      <c r="F141" s="296"/>
      <c r="G141" s="296"/>
      <c r="H141" s="278" t="s">
        <v>438</v>
      </c>
      <c r="I141" s="371"/>
      <c r="J141" s="371"/>
      <c r="K141" s="372">
        <v>36925000</v>
      </c>
    </row>
    <row r="142" spans="1:11" ht="22.5">
      <c r="A142" s="285"/>
      <c r="B142" s="285"/>
      <c r="C142" s="295"/>
      <c r="D142" s="296"/>
      <c r="E142" s="285"/>
      <c r="F142" s="296"/>
      <c r="G142" s="296"/>
      <c r="H142" s="445" t="s">
        <v>408</v>
      </c>
      <c r="I142" s="373"/>
      <c r="J142" s="373"/>
      <c r="K142" s="374">
        <v>2280000</v>
      </c>
    </row>
    <row r="143" spans="1:11">
      <c r="A143" s="285"/>
      <c r="B143" s="285"/>
      <c r="C143" s="295"/>
      <c r="D143" s="296"/>
      <c r="E143" s="285"/>
      <c r="F143" s="296"/>
      <c r="G143" s="296"/>
      <c r="H143" s="278" t="s">
        <v>364</v>
      </c>
      <c r="I143" s="366"/>
      <c r="J143" s="366"/>
      <c r="K143" s="375">
        <v>740000</v>
      </c>
    </row>
    <row r="144" spans="1:11" ht="14.25" thickBot="1">
      <c r="A144" s="285"/>
      <c r="B144" s="285"/>
      <c r="C144" s="295"/>
      <c r="D144" s="296"/>
      <c r="E144" s="339"/>
      <c r="F144" s="296"/>
      <c r="G144" s="296"/>
      <c r="H144" s="278" t="s">
        <v>365</v>
      </c>
      <c r="I144" s="366"/>
      <c r="J144" s="366"/>
      <c r="K144" s="375">
        <v>1000000</v>
      </c>
    </row>
    <row r="145" spans="1:11" ht="14.25" thickBot="1">
      <c r="A145" s="281" t="s">
        <v>34</v>
      </c>
      <c r="B145" s="281"/>
      <c r="C145" s="281" t="s">
        <v>42</v>
      </c>
      <c r="D145" s="376">
        <f>D146</f>
        <v>20000000</v>
      </c>
      <c r="E145" s="377">
        <f>E146</f>
        <v>20000000</v>
      </c>
      <c r="F145" s="321"/>
      <c r="G145" s="322">
        <f>E145-D145</f>
        <v>0</v>
      </c>
      <c r="H145" s="378"/>
      <c r="I145" s="379"/>
      <c r="J145" s="379"/>
      <c r="K145" s="370">
        <f>K146</f>
        <v>20000000</v>
      </c>
    </row>
    <row r="146" spans="1:11" s="373" customFormat="1" ht="14.25" thickBot="1">
      <c r="A146" s="285"/>
      <c r="B146" s="281" t="s">
        <v>34</v>
      </c>
      <c r="C146" s="281"/>
      <c r="D146" s="376">
        <f>D147</f>
        <v>20000000</v>
      </c>
      <c r="E146" s="377">
        <f>E147</f>
        <v>20000000</v>
      </c>
      <c r="F146" s="321"/>
      <c r="G146" s="322">
        <f>E146-D146</f>
        <v>0</v>
      </c>
      <c r="H146" s="378"/>
      <c r="I146" s="379"/>
      <c r="J146" s="369"/>
      <c r="K146" s="300">
        <f>K147</f>
        <v>20000000</v>
      </c>
    </row>
    <row r="147" spans="1:11" s="373" customFormat="1" ht="14.25" thickBot="1">
      <c r="A147" s="285"/>
      <c r="B147" s="285"/>
      <c r="C147" s="339" t="s">
        <v>126</v>
      </c>
      <c r="D147" s="380">
        <v>20000000</v>
      </c>
      <c r="E147" s="381">
        <f>K147</f>
        <v>20000000</v>
      </c>
      <c r="F147" s="326"/>
      <c r="G147" s="327">
        <f>E147-D147</f>
        <v>0</v>
      </c>
      <c r="H147" s="328" t="s">
        <v>126</v>
      </c>
      <c r="I147" s="329"/>
      <c r="J147" s="330"/>
      <c r="K147" s="331">
        <v>20000000</v>
      </c>
    </row>
    <row r="148" spans="1:11" ht="15" customHeight="1" thickBot="1">
      <c r="A148" s="285"/>
      <c r="B148" s="285"/>
      <c r="C148" s="295"/>
      <c r="D148" s="382"/>
      <c r="E148" s="381"/>
      <c r="F148" s="296"/>
      <c r="G148" s="296"/>
      <c r="H148" s="293"/>
      <c r="I148" s="298"/>
      <c r="J148" s="299"/>
      <c r="K148" s="300"/>
    </row>
    <row r="149" spans="1:11" ht="15" customHeight="1" thickBot="1">
      <c r="A149" s="281" t="s">
        <v>35</v>
      </c>
      <c r="B149" s="281"/>
      <c r="C149" s="281"/>
      <c r="D149" s="383">
        <f>D150</f>
        <v>15120000</v>
      </c>
      <c r="E149" s="383">
        <f>E150</f>
        <v>15340000</v>
      </c>
      <c r="F149" s="320"/>
      <c r="G149" s="320">
        <f>E149-D149</f>
        <v>220000</v>
      </c>
      <c r="H149" s="378"/>
      <c r="I149" s="379"/>
      <c r="J149" s="369"/>
      <c r="K149" s="300">
        <f>K150</f>
        <v>15340000</v>
      </c>
    </row>
    <row r="150" spans="1:11" ht="15" customHeight="1" thickBot="1">
      <c r="A150" s="285"/>
      <c r="B150" s="281" t="s">
        <v>35</v>
      </c>
      <c r="C150" s="281" t="s">
        <v>35</v>
      </c>
      <c r="D150" s="383">
        <f>D151+D152+D153+D154</f>
        <v>15120000</v>
      </c>
      <c r="E150" s="383">
        <f>E151+E152+E153+E154</f>
        <v>15340000</v>
      </c>
      <c r="F150" s="320"/>
      <c r="G150" s="320">
        <f>E150-D150</f>
        <v>220000</v>
      </c>
      <c r="H150" s="513" t="s">
        <v>35</v>
      </c>
      <c r="I150" s="298"/>
      <c r="J150" s="299"/>
      <c r="K150" s="300">
        <f>SUM(K151:K154)</f>
        <v>15340000</v>
      </c>
    </row>
    <row r="151" spans="1:11" ht="15" customHeight="1">
      <c r="A151" s="285"/>
      <c r="B151" s="285"/>
      <c r="C151" s="384" t="s">
        <v>208</v>
      </c>
      <c r="D151" s="385">
        <v>6300000</v>
      </c>
      <c r="E151" s="385">
        <f>K151</f>
        <v>4300000</v>
      </c>
      <c r="F151" s="359"/>
      <c r="G151" s="359">
        <f>E151-D151</f>
        <v>-2000000</v>
      </c>
      <c r="H151" s="386" t="s">
        <v>366</v>
      </c>
      <c r="I151" s="371"/>
      <c r="J151" s="387"/>
      <c r="K151" s="368">
        <v>4300000</v>
      </c>
    </row>
    <row r="152" spans="1:11" ht="15" customHeight="1">
      <c r="A152" s="285"/>
      <c r="B152" s="285"/>
      <c r="C152" s="285" t="s">
        <v>209</v>
      </c>
      <c r="D152" s="385">
        <v>8820000</v>
      </c>
      <c r="E152" s="385">
        <f>K152</f>
        <v>11040000</v>
      </c>
      <c r="F152" s="359"/>
      <c r="G152" s="359">
        <f>E152-D152</f>
        <v>2220000</v>
      </c>
      <c r="H152" s="388" t="s">
        <v>367</v>
      </c>
      <c r="I152" s="389"/>
      <c r="J152" s="390"/>
      <c r="K152" s="368">
        <v>11040000</v>
      </c>
    </row>
    <row r="153" spans="1:11" ht="14.25" hidden="1" customHeight="1">
      <c r="A153" s="285"/>
      <c r="B153" s="285"/>
      <c r="C153" s="391"/>
      <c r="D153" s="392"/>
      <c r="E153" s="392"/>
      <c r="F153" s="392"/>
      <c r="G153" s="392"/>
      <c r="H153" s="388"/>
      <c r="I153" s="389"/>
      <c r="J153" s="390"/>
      <c r="K153" s="368"/>
    </row>
    <row r="154" spans="1:11" ht="15" customHeight="1" thickBot="1">
      <c r="A154" s="285"/>
      <c r="B154" s="285"/>
      <c r="C154" s="285"/>
      <c r="D154" s="359"/>
      <c r="E154" s="359"/>
      <c r="F154" s="359"/>
      <c r="G154" s="359"/>
      <c r="H154" s="386"/>
      <c r="I154" s="371"/>
      <c r="J154" s="387"/>
      <c r="K154" s="368"/>
    </row>
    <row r="155" spans="1:11" ht="15" customHeight="1" thickBot="1">
      <c r="A155" s="281" t="s">
        <v>36</v>
      </c>
      <c r="B155" s="281"/>
      <c r="C155" s="281" t="s">
        <v>42</v>
      </c>
      <c r="D155" s="320">
        <f>D156</f>
        <v>10800000</v>
      </c>
      <c r="E155" s="320">
        <f>E156</f>
        <v>13210120</v>
      </c>
      <c r="F155" s="320"/>
      <c r="G155" s="320">
        <f t="shared" ref="G155:G168" si="1">E155-D155</f>
        <v>2410120</v>
      </c>
      <c r="H155" s="378"/>
      <c r="I155" s="379"/>
      <c r="J155" s="369"/>
      <c r="K155" s="300">
        <f>K156</f>
        <v>13210120</v>
      </c>
    </row>
    <row r="156" spans="1:11" ht="15" customHeight="1" thickBot="1">
      <c r="A156" s="285"/>
      <c r="B156" s="281" t="s">
        <v>36</v>
      </c>
      <c r="C156" s="281"/>
      <c r="D156" s="320">
        <f>D157+D158+D159</f>
        <v>10800000</v>
      </c>
      <c r="E156" s="320">
        <f>E157+E158+E159</f>
        <v>13210120</v>
      </c>
      <c r="F156" s="320"/>
      <c r="G156" s="320">
        <f t="shared" si="1"/>
        <v>2410120</v>
      </c>
      <c r="H156" s="293" t="s">
        <v>36</v>
      </c>
      <c r="I156" s="298"/>
      <c r="J156" s="299"/>
      <c r="K156" s="300">
        <f>SUM(K157:K160)</f>
        <v>13210120</v>
      </c>
    </row>
    <row r="157" spans="1:11">
      <c r="A157" s="285"/>
      <c r="B157" s="285"/>
      <c r="C157" s="297" t="s">
        <v>260</v>
      </c>
      <c r="D157" s="393">
        <v>10800000</v>
      </c>
      <c r="E157" s="393">
        <f t="shared" ref="E157:E159" si="2">K157</f>
        <v>12600000</v>
      </c>
      <c r="F157" s="393"/>
      <c r="G157" s="393">
        <f t="shared" si="1"/>
        <v>1800000</v>
      </c>
      <c r="H157" s="278" t="s">
        <v>260</v>
      </c>
      <c r="I157" s="394"/>
      <c r="J157" s="395"/>
      <c r="K157" s="396">
        <v>12600000</v>
      </c>
    </row>
    <row r="158" spans="1:11">
      <c r="A158" s="285"/>
      <c r="B158" s="285"/>
      <c r="C158" s="285" t="s">
        <v>238</v>
      </c>
      <c r="D158" s="359"/>
      <c r="E158" s="359">
        <f t="shared" si="2"/>
        <v>0</v>
      </c>
      <c r="F158" s="359"/>
      <c r="G158" s="359">
        <f t="shared" si="1"/>
        <v>0</v>
      </c>
      <c r="H158" s="278" t="s">
        <v>238</v>
      </c>
      <c r="I158" s="371"/>
      <c r="J158" s="387"/>
      <c r="K158" s="368">
        <v>0</v>
      </c>
    </row>
    <row r="159" spans="1:11" ht="14.25" thickBot="1">
      <c r="A159" s="285"/>
      <c r="B159" s="285"/>
      <c r="C159" s="444" t="s">
        <v>129</v>
      </c>
      <c r="D159" s="359">
        <v>0</v>
      </c>
      <c r="E159" s="359">
        <f t="shared" si="2"/>
        <v>610120</v>
      </c>
      <c r="F159" s="359"/>
      <c r="G159" s="359">
        <f t="shared" si="1"/>
        <v>610120</v>
      </c>
      <c r="H159" s="278" t="s">
        <v>440</v>
      </c>
      <c r="I159" s="371"/>
      <c r="J159" s="387"/>
      <c r="K159" s="368">
        <v>610120</v>
      </c>
    </row>
    <row r="160" spans="1:11" ht="14.25" hidden="1" thickBot="1">
      <c r="A160" s="285"/>
      <c r="B160" s="285"/>
      <c r="C160" s="285"/>
      <c r="D160" s="359"/>
      <c r="E160" s="359"/>
      <c r="F160" s="359"/>
      <c r="G160" s="359">
        <f t="shared" si="1"/>
        <v>0</v>
      </c>
      <c r="H160" s="278"/>
      <c r="I160" s="366"/>
      <c r="J160" s="367"/>
      <c r="K160" s="368"/>
    </row>
    <row r="161" spans="1:11" ht="15" hidden="1" customHeight="1" thickBot="1">
      <c r="A161" s="285"/>
      <c r="B161" s="285"/>
      <c r="C161" s="285"/>
      <c r="D161" s="359"/>
      <c r="E161" s="359"/>
      <c r="F161" s="359"/>
      <c r="G161" s="359">
        <f t="shared" si="1"/>
        <v>0</v>
      </c>
      <c r="H161" s="352"/>
      <c r="I161" s="353"/>
      <c r="J161" s="354"/>
      <c r="K161" s="368"/>
    </row>
    <row r="162" spans="1:11" ht="14.25" thickBot="1">
      <c r="A162" s="281" t="s">
        <v>130</v>
      </c>
      <c r="B162" s="281"/>
      <c r="C162" s="281"/>
      <c r="D162" s="433">
        <f>D163</f>
        <v>108302531</v>
      </c>
      <c r="E162" s="433">
        <f>E163</f>
        <v>126741207</v>
      </c>
      <c r="F162" s="320"/>
      <c r="G162" s="320">
        <f t="shared" si="1"/>
        <v>18438676</v>
      </c>
      <c r="H162" s="378"/>
      <c r="I162" s="379"/>
      <c r="J162" s="369"/>
      <c r="K162" s="300">
        <f>K163</f>
        <v>126741207</v>
      </c>
    </row>
    <row r="163" spans="1:11" s="373" customFormat="1" ht="14.25" thickBot="1">
      <c r="A163" s="397"/>
      <c r="B163" s="397" t="s">
        <v>130</v>
      </c>
      <c r="C163" s="281" t="s">
        <v>42</v>
      </c>
      <c r="D163" s="433">
        <f>SUM(D164:D169)</f>
        <v>108302531</v>
      </c>
      <c r="E163" s="433">
        <f>SUM(E164:E169)</f>
        <v>126741207</v>
      </c>
      <c r="F163" s="320"/>
      <c r="G163" s="320">
        <f t="shared" si="1"/>
        <v>18438676</v>
      </c>
      <c r="H163" s="293" t="s">
        <v>130</v>
      </c>
      <c r="I163" s="379"/>
      <c r="J163" s="369"/>
      <c r="K163" s="300">
        <f>SUM(K164:K169)</f>
        <v>126741207</v>
      </c>
    </row>
    <row r="164" spans="1:11" s="373" customFormat="1">
      <c r="A164" s="398"/>
      <c r="B164" s="398"/>
      <c r="C164" s="399" t="s">
        <v>368</v>
      </c>
      <c r="D164" s="432">
        <v>39099988</v>
      </c>
      <c r="E164" s="432">
        <f t="shared" ref="E164:E168" si="3">K164</f>
        <v>53740178</v>
      </c>
      <c r="F164" s="400"/>
      <c r="G164" s="400">
        <f t="shared" si="1"/>
        <v>14640190</v>
      </c>
      <c r="H164" s="401" t="s">
        <v>441</v>
      </c>
      <c r="I164" s="402"/>
      <c r="J164" s="403"/>
      <c r="K164" s="404">
        <f>5273475+48259959+206744</f>
        <v>53740178</v>
      </c>
    </row>
    <row r="165" spans="1:11" s="373" customFormat="1">
      <c r="A165" s="398"/>
      <c r="B165" s="398"/>
      <c r="C165" s="398" t="s">
        <v>369</v>
      </c>
      <c r="D165" s="400">
        <v>5500000</v>
      </c>
      <c r="E165" s="400">
        <f t="shared" si="3"/>
        <v>7474069</v>
      </c>
      <c r="F165" s="405"/>
      <c r="G165" s="405">
        <f t="shared" si="1"/>
        <v>1974069</v>
      </c>
      <c r="H165" s="401" t="s">
        <v>370</v>
      </c>
      <c r="I165" s="402"/>
      <c r="J165" s="403"/>
      <c r="K165" s="406">
        <v>7474069</v>
      </c>
    </row>
    <row r="166" spans="1:11" s="373" customFormat="1">
      <c r="A166" s="398"/>
      <c r="B166" s="398"/>
      <c r="C166" s="398" t="s">
        <v>239</v>
      </c>
      <c r="D166" s="436">
        <v>44000000</v>
      </c>
      <c r="E166" s="436">
        <f t="shared" si="3"/>
        <v>44619702</v>
      </c>
      <c r="F166" s="405"/>
      <c r="G166" s="405">
        <f t="shared" si="1"/>
        <v>619702</v>
      </c>
      <c r="H166" s="401" t="s">
        <v>371</v>
      </c>
      <c r="I166" s="402"/>
      <c r="J166" s="403"/>
      <c r="K166" s="406">
        <f>44570907+48795</f>
        <v>44619702</v>
      </c>
    </row>
    <row r="167" spans="1:11" s="373" customFormat="1">
      <c r="A167" s="407"/>
      <c r="B167" s="407"/>
      <c r="C167" s="408" t="s">
        <v>240</v>
      </c>
      <c r="D167" s="437">
        <v>9000000</v>
      </c>
      <c r="E167" s="437">
        <f t="shared" si="3"/>
        <v>10194261</v>
      </c>
      <c r="F167" s="409"/>
      <c r="G167" s="409">
        <f t="shared" si="1"/>
        <v>1194261</v>
      </c>
      <c r="H167" s="410" t="s">
        <v>372</v>
      </c>
      <c r="J167" s="411"/>
      <c r="K167" s="412">
        <v>10194261</v>
      </c>
    </row>
    <row r="168" spans="1:11" s="373" customFormat="1">
      <c r="A168" s="285"/>
      <c r="B168" s="285"/>
      <c r="C168" s="408" t="s">
        <v>241</v>
      </c>
      <c r="D168" s="434">
        <v>10702543</v>
      </c>
      <c r="E168" s="434">
        <f t="shared" si="3"/>
        <v>10712997</v>
      </c>
      <c r="F168" s="409"/>
      <c r="G168" s="409">
        <f t="shared" si="1"/>
        <v>10454</v>
      </c>
      <c r="H168" s="278" t="s">
        <v>373</v>
      </c>
      <c r="J168" s="411"/>
      <c r="K168" s="412">
        <v>10712997</v>
      </c>
    </row>
    <row r="169" spans="1:11" ht="14.25" thickBot="1">
      <c r="A169" s="413"/>
      <c r="B169" s="413"/>
      <c r="C169" s="414"/>
      <c r="D169" s="435"/>
      <c r="E169" s="435"/>
      <c r="F169" s="415"/>
      <c r="G169" s="415"/>
      <c r="H169" s="416"/>
      <c r="I169" s="417"/>
      <c r="J169" s="418"/>
      <c r="K169" s="419"/>
    </row>
  </sheetData>
  <mergeCells count="33">
    <mergeCell ref="A1:K1"/>
    <mergeCell ref="A2:K2"/>
    <mergeCell ref="A3:C3"/>
    <mergeCell ref="D3:D4"/>
    <mergeCell ref="E3:E4"/>
    <mergeCell ref="F3:F4"/>
    <mergeCell ref="G3:G4"/>
    <mergeCell ref="H3:J4"/>
    <mergeCell ref="K3:K4"/>
    <mergeCell ref="I75:J75"/>
    <mergeCell ref="A5:C5"/>
    <mergeCell ref="H8:J8"/>
    <mergeCell ref="H12:J12"/>
    <mergeCell ref="H31:J31"/>
    <mergeCell ref="I68:J68"/>
    <mergeCell ref="I69:J69"/>
    <mergeCell ref="I70:J70"/>
    <mergeCell ref="I71:J71"/>
    <mergeCell ref="I72:J72"/>
    <mergeCell ref="I73:J73"/>
    <mergeCell ref="I74:J74"/>
    <mergeCell ref="H138:I138"/>
    <mergeCell ref="I76:J76"/>
    <mergeCell ref="I77:J77"/>
    <mergeCell ref="I78:J78"/>
    <mergeCell ref="I79:J79"/>
    <mergeCell ref="H120:I120"/>
    <mergeCell ref="H126:J126"/>
    <mergeCell ref="H128:J128"/>
    <mergeCell ref="H129:J129"/>
    <mergeCell ref="H130:J130"/>
    <mergeCell ref="I132:J132"/>
    <mergeCell ref="H134:J134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62" fitToHeight="0" orientation="landscape" r:id="rId1"/>
  <headerFooter alignWithMargins="0"/>
  <rowBreaks count="5" manualBreakCount="5">
    <brk id="31" max="10" man="1"/>
    <brk id="66" max="10" man="1"/>
    <brk id="126" max="10" man="1"/>
    <brk id="145" max="10" man="1"/>
    <brk id="172" max="10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6F57-646D-485A-B171-6B3ECDB0EA77}">
  <sheetPr>
    <pageSetUpPr fitToPage="1"/>
  </sheetPr>
  <dimension ref="A1:R253"/>
  <sheetViews>
    <sheetView view="pageBreakPreview" topLeftCell="E76" zoomScale="70" zoomScaleNormal="85" zoomScaleSheetLayoutView="70" zoomScalePageLayoutView="70" workbookViewId="0">
      <selection activeCell="H158" sqref="H158"/>
    </sheetView>
  </sheetViews>
  <sheetFormatPr defaultRowHeight="18.75"/>
  <cols>
    <col min="1" max="1" width="19.21875" style="761" bestFit="1" customWidth="1"/>
    <col min="2" max="2" width="12.5546875" style="761" bestFit="1" customWidth="1"/>
    <col min="3" max="3" width="19.21875" style="761" bestFit="1" customWidth="1"/>
    <col min="4" max="5" width="19.6640625" style="761" bestFit="1" customWidth="1"/>
    <col min="6" max="6" width="19.6640625" style="761" customWidth="1"/>
    <col min="7" max="7" width="16.109375" style="761" bestFit="1" customWidth="1"/>
    <col min="8" max="8" width="49.44140625" style="761" bestFit="1" customWidth="1"/>
    <col min="9" max="9" width="17.33203125" style="762" bestFit="1" customWidth="1"/>
    <col min="10" max="10" width="6.21875" style="761" bestFit="1" customWidth="1"/>
    <col min="11" max="11" width="11.44140625" style="761" bestFit="1" customWidth="1"/>
    <col min="12" max="12" width="45" style="761" bestFit="1" customWidth="1"/>
    <col min="13" max="13" width="9.21875" style="761" bestFit="1" customWidth="1"/>
    <col min="14" max="14" width="19.6640625" style="761" bestFit="1" customWidth="1"/>
    <col min="15" max="15" width="12.6640625" style="519" customWidth="1"/>
    <col min="16" max="16" width="17.109375" style="1025" bestFit="1" customWidth="1"/>
    <col min="17" max="17" width="16.109375" style="519" customWidth="1"/>
    <col min="18" max="18" width="13.77734375" style="519" bestFit="1" customWidth="1"/>
    <col min="19" max="19" width="15.88671875" style="519" customWidth="1"/>
    <col min="20" max="259" width="8.88671875" style="519"/>
    <col min="260" max="260" width="8.6640625" style="519" customWidth="1"/>
    <col min="261" max="261" width="7.88671875" style="519" customWidth="1"/>
    <col min="262" max="262" width="19.109375" style="519" bestFit="1" customWidth="1"/>
    <col min="263" max="264" width="13.77734375" style="519" customWidth="1"/>
    <col min="265" max="265" width="0" style="519" hidden="1" customWidth="1"/>
    <col min="266" max="266" width="13.77734375" style="519" customWidth="1"/>
    <col min="267" max="267" width="62.44140625" style="519" bestFit="1" customWidth="1"/>
    <col min="268" max="268" width="10.6640625" style="519" customWidth="1"/>
    <col min="269" max="269" width="20.109375" style="519" customWidth="1"/>
    <col min="270" max="270" width="13.88671875" style="519" bestFit="1" customWidth="1"/>
    <col min="271" max="271" width="12.6640625" style="519" customWidth="1"/>
    <col min="272" max="272" width="12.6640625" style="519" bestFit="1" customWidth="1"/>
    <col min="273" max="273" width="14.109375" style="519" bestFit="1" customWidth="1"/>
    <col min="274" max="274" width="8.88671875" style="519"/>
    <col min="275" max="275" width="15.88671875" style="519" customWidth="1"/>
    <col min="276" max="515" width="8.88671875" style="519"/>
    <col min="516" max="516" width="8.6640625" style="519" customWidth="1"/>
    <col min="517" max="517" width="7.88671875" style="519" customWidth="1"/>
    <col min="518" max="518" width="19.109375" style="519" bestFit="1" customWidth="1"/>
    <col min="519" max="520" width="13.77734375" style="519" customWidth="1"/>
    <col min="521" max="521" width="0" style="519" hidden="1" customWidth="1"/>
    <col min="522" max="522" width="13.77734375" style="519" customWidth="1"/>
    <col min="523" max="523" width="62.44140625" style="519" bestFit="1" customWidth="1"/>
    <col min="524" max="524" width="10.6640625" style="519" customWidth="1"/>
    <col min="525" max="525" width="20.109375" style="519" customWidth="1"/>
    <col min="526" max="526" width="13.88671875" style="519" bestFit="1" customWidth="1"/>
    <col min="527" max="527" width="12.6640625" style="519" customWidth="1"/>
    <col min="528" max="528" width="12.6640625" style="519" bestFit="1" customWidth="1"/>
    <col min="529" max="529" width="14.109375" style="519" bestFit="1" customWidth="1"/>
    <col min="530" max="530" width="8.88671875" style="519"/>
    <col min="531" max="531" width="15.88671875" style="519" customWidth="1"/>
    <col min="532" max="771" width="8.88671875" style="519"/>
    <col min="772" max="772" width="8.6640625" style="519" customWidth="1"/>
    <col min="773" max="773" width="7.88671875" style="519" customWidth="1"/>
    <col min="774" max="774" width="19.109375" style="519" bestFit="1" customWidth="1"/>
    <col min="775" max="776" width="13.77734375" style="519" customWidth="1"/>
    <col min="777" max="777" width="0" style="519" hidden="1" customWidth="1"/>
    <col min="778" max="778" width="13.77734375" style="519" customWidth="1"/>
    <col min="779" max="779" width="62.44140625" style="519" bestFit="1" customWidth="1"/>
    <col min="780" max="780" width="10.6640625" style="519" customWidth="1"/>
    <col min="781" max="781" width="20.109375" style="519" customWidth="1"/>
    <col min="782" max="782" width="13.88671875" style="519" bestFit="1" customWidth="1"/>
    <col min="783" max="783" width="12.6640625" style="519" customWidth="1"/>
    <col min="784" max="784" width="12.6640625" style="519" bestFit="1" customWidth="1"/>
    <col min="785" max="785" width="14.109375" style="519" bestFit="1" customWidth="1"/>
    <col min="786" max="786" width="8.88671875" style="519"/>
    <col min="787" max="787" width="15.88671875" style="519" customWidth="1"/>
    <col min="788" max="1027" width="8.88671875" style="519"/>
    <col min="1028" max="1028" width="8.6640625" style="519" customWidth="1"/>
    <col min="1029" max="1029" width="7.88671875" style="519" customWidth="1"/>
    <col min="1030" max="1030" width="19.109375" style="519" bestFit="1" customWidth="1"/>
    <col min="1031" max="1032" width="13.77734375" style="519" customWidth="1"/>
    <col min="1033" max="1033" width="0" style="519" hidden="1" customWidth="1"/>
    <col min="1034" max="1034" width="13.77734375" style="519" customWidth="1"/>
    <col min="1035" max="1035" width="62.44140625" style="519" bestFit="1" customWidth="1"/>
    <col min="1036" max="1036" width="10.6640625" style="519" customWidth="1"/>
    <col min="1037" max="1037" width="20.109375" style="519" customWidth="1"/>
    <col min="1038" max="1038" width="13.88671875" style="519" bestFit="1" customWidth="1"/>
    <col min="1039" max="1039" width="12.6640625" style="519" customWidth="1"/>
    <col min="1040" max="1040" width="12.6640625" style="519" bestFit="1" customWidth="1"/>
    <col min="1041" max="1041" width="14.109375" style="519" bestFit="1" customWidth="1"/>
    <col min="1042" max="1042" width="8.88671875" style="519"/>
    <col min="1043" max="1043" width="15.88671875" style="519" customWidth="1"/>
    <col min="1044" max="1283" width="8.88671875" style="519"/>
    <col min="1284" max="1284" width="8.6640625" style="519" customWidth="1"/>
    <col min="1285" max="1285" width="7.88671875" style="519" customWidth="1"/>
    <col min="1286" max="1286" width="19.109375" style="519" bestFit="1" customWidth="1"/>
    <col min="1287" max="1288" width="13.77734375" style="519" customWidth="1"/>
    <col min="1289" max="1289" width="0" style="519" hidden="1" customWidth="1"/>
    <col min="1290" max="1290" width="13.77734375" style="519" customWidth="1"/>
    <col min="1291" max="1291" width="62.44140625" style="519" bestFit="1" customWidth="1"/>
    <col min="1292" max="1292" width="10.6640625" style="519" customWidth="1"/>
    <col min="1293" max="1293" width="20.109375" style="519" customWidth="1"/>
    <col min="1294" max="1294" width="13.88671875" style="519" bestFit="1" customWidth="1"/>
    <col min="1295" max="1295" width="12.6640625" style="519" customWidth="1"/>
    <col min="1296" max="1296" width="12.6640625" style="519" bestFit="1" customWidth="1"/>
    <col min="1297" max="1297" width="14.109375" style="519" bestFit="1" customWidth="1"/>
    <col min="1298" max="1298" width="8.88671875" style="519"/>
    <col min="1299" max="1299" width="15.88671875" style="519" customWidth="1"/>
    <col min="1300" max="1539" width="8.88671875" style="519"/>
    <col min="1540" max="1540" width="8.6640625" style="519" customWidth="1"/>
    <col min="1541" max="1541" width="7.88671875" style="519" customWidth="1"/>
    <col min="1542" max="1542" width="19.109375" style="519" bestFit="1" customWidth="1"/>
    <col min="1543" max="1544" width="13.77734375" style="519" customWidth="1"/>
    <col min="1545" max="1545" width="0" style="519" hidden="1" customWidth="1"/>
    <col min="1546" max="1546" width="13.77734375" style="519" customWidth="1"/>
    <col min="1547" max="1547" width="62.44140625" style="519" bestFit="1" customWidth="1"/>
    <col min="1548" max="1548" width="10.6640625" style="519" customWidth="1"/>
    <col min="1549" max="1549" width="20.109375" style="519" customWidth="1"/>
    <col min="1550" max="1550" width="13.88671875" style="519" bestFit="1" customWidth="1"/>
    <col min="1551" max="1551" width="12.6640625" style="519" customWidth="1"/>
    <col min="1552" max="1552" width="12.6640625" style="519" bestFit="1" customWidth="1"/>
    <col min="1553" max="1553" width="14.109375" style="519" bestFit="1" customWidth="1"/>
    <col min="1554" max="1554" width="8.88671875" style="519"/>
    <col min="1555" max="1555" width="15.88671875" style="519" customWidth="1"/>
    <col min="1556" max="1795" width="8.88671875" style="519"/>
    <col min="1796" max="1796" width="8.6640625" style="519" customWidth="1"/>
    <col min="1797" max="1797" width="7.88671875" style="519" customWidth="1"/>
    <col min="1798" max="1798" width="19.109375" style="519" bestFit="1" customWidth="1"/>
    <col min="1799" max="1800" width="13.77734375" style="519" customWidth="1"/>
    <col min="1801" max="1801" width="0" style="519" hidden="1" customWidth="1"/>
    <col min="1802" max="1802" width="13.77734375" style="519" customWidth="1"/>
    <col min="1803" max="1803" width="62.44140625" style="519" bestFit="1" customWidth="1"/>
    <col min="1804" max="1804" width="10.6640625" style="519" customWidth="1"/>
    <col min="1805" max="1805" width="20.109375" style="519" customWidth="1"/>
    <col min="1806" max="1806" width="13.88671875" style="519" bestFit="1" customWidth="1"/>
    <col min="1807" max="1807" width="12.6640625" style="519" customWidth="1"/>
    <col min="1808" max="1808" width="12.6640625" style="519" bestFit="1" customWidth="1"/>
    <col min="1809" max="1809" width="14.109375" style="519" bestFit="1" customWidth="1"/>
    <col min="1810" max="1810" width="8.88671875" style="519"/>
    <col min="1811" max="1811" width="15.88671875" style="519" customWidth="1"/>
    <col min="1812" max="2051" width="8.88671875" style="519"/>
    <col min="2052" max="2052" width="8.6640625" style="519" customWidth="1"/>
    <col min="2053" max="2053" width="7.88671875" style="519" customWidth="1"/>
    <col min="2054" max="2054" width="19.109375" style="519" bestFit="1" customWidth="1"/>
    <col min="2055" max="2056" width="13.77734375" style="519" customWidth="1"/>
    <col min="2057" max="2057" width="0" style="519" hidden="1" customWidth="1"/>
    <col min="2058" max="2058" width="13.77734375" style="519" customWidth="1"/>
    <col min="2059" max="2059" width="62.44140625" style="519" bestFit="1" customWidth="1"/>
    <col min="2060" max="2060" width="10.6640625" style="519" customWidth="1"/>
    <col min="2061" max="2061" width="20.109375" style="519" customWidth="1"/>
    <col min="2062" max="2062" width="13.88671875" style="519" bestFit="1" customWidth="1"/>
    <col min="2063" max="2063" width="12.6640625" style="519" customWidth="1"/>
    <col min="2064" max="2064" width="12.6640625" style="519" bestFit="1" customWidth="1"/>
    <col min="2065" max="2065" width="14.109375" style="519" bestFit="1" customWidth="1"/>
    <col min="2066" max="2066" width="8.88671875" style="519"/>
    <col min="2067" max="2067" width="15.88671875" style="519" customWidth="1"/>
    <col min="2068" max="2307" width="8.88671875" style="519"/>
    <col min="2308" max="2308" width="8.6640625" style="519" customWidth="1"/>
    <col min="2309" max="2309" width="7.88671875" style="519" customWidth="1"/>
    <col min="2310" max="2310" width="19.109375" style="519" bestFit="1" customWidth="1"/>
    <col min="2311" max="2312" width="13.77734375" style="519" customWidth="1"/>
    <col min="2313" max="2313" width="0" style="519" hidden="1" customWidth="1"/>
    <col min="2314" max="2314" width="13.77734375" style="519" customWidth="1"/>
    <col min="2315" max="2315" width="62.44140625" style="519" bestFit="1" customWidth="1"/>
    <col min="2316" max="2316" width="10.6640625" style="519" customWidth="1"/>
    <col min="2317" max="2317" width="20.109375" style="519" customWidth="1"/>
    <col min="2318" max="2318" width="13.88671875" style="519" bestFit="1" customWidth="1"/>
    <col min="2319" max="2319" width="12.6640625" style="519" customWidth="1"/>
    <col min="2320" max="2320" width="12.6640625" style="519" bestFit="1" customWidth="1"/>
    <col min="2321" max="2321" width="14.109375" style="519" bestFit="1" customWidth="1"/>
    <col min="2322" max="2322" width="8.88671875" style="519"/>
    <col min="2323" max="2323" width="15.88671875" style="519" customWidth="1"/>
    <col min="2324" max="2563" width="8.88671875" style="519"/>
    <col min="2564" max="2564" width="8.6640625" style="519" customWidth="1"/>
    <col min="2565" max="2565" width="7.88671875" style="519" customWidth="1"/>
    <col min="2566" max="2566" width="19.109375" style="519" bestFit="1" customWidth="1"/>
    <col min="2567" max="2568" width="13.77734375" style="519" customWidth="1"/>
    <col min="2569" max="2569" width="0" style="519" hidden="1" customWidth="1"/>
    <col min="2570" max="2570" width="13.77734375" style="519" customWidth="1"/>
    <col min="2571" max="2571" width="62.44140625" style="519" bestFit="1" customWidth="1"/>
    <col min="2572" max="2572" width="10.6640625" style="519" customWidth="1"/>
    <col min="2573" max="2573" width="20.109375" style="519" customWidth="1"/>
    <col min="2574" max="2574" width="13.88671875" style="519" bestFit="1" customWidth="1"/>
    <col min="2575" max="2575" width="12.6640625" style="519" customWidth="1"/>
    <col min="2576" max="2576" width="12.6640625" style="519" bestFit="1" customWidth="1"/>
    <col min="2577" max="2577" width="14.109375" style="519" bestFit="1" customWidth="1"/>
    <col min="2578" max="2578" width="8.88671875" style="519"/>
    <col min="2579" max="2579" width="15.88671875" style="519" customWidth="1"/>
    <col min="2580" max="2819" width="8.88671875" style="519"/>
    <col min="2820" max="2820" width="8.6640625" style="519" customWidth="1"/>
    <col min="2821" max="2821" width="7.88671875" style="519" customWidth="1"/>
    <col min="2822" max="2822" width="19.109375" style="519" bestFit="1" customWidth="1"/>
    <col min="2823" max="2824" width="13.77734375" style="519" customWidth="1"/>
    <col min="2825" max="2825" width="0" style="519" hidden="1" customWidth="1"/>
    <col min="2826" max="2826" width="13.77734375" style="519" customWidth="1"/>
    <col min="2827" max="2827" width="62.44140625" style="519" bestFit="1" customWidth="1"/>
    <col min="2828" max="2828" width="10.6640625" style="519" customWidth="1"/>
    <col min="2829" max="2829" width="20.109375" style="519" customWidth="1"/>
    <col min="2830" max="2830" width="13.88671875" style="519" bestFit="1" customWidth="1"/>
    <col min="2831" max="2831" width="12.6640625" style="519" customWidth="1"/>
    <col min="2832" max="2832" width="12.6640625" style="519" bestFit="1" customWidth="1"/>
    <col min="2833" max="2833" width="14.109375" style="519" bestFit="1" customWidth="1"/>
    <col min="2834" max="2834" width="8.88671875" style="519"/>
    <col min="2835" max="2835" width="15.88671875" style="519" customWidth="1"/>
    <col min="2836" max="3075" width="8.88671875" style="519"/>
    <col min="3076" max="3076" width="8.6640625" style="519" customWidth="1"/>
    <col min="3077" max="3077" width="7.88671875" style="519" customWidth="1"/>
    <col min="3078" max="3078" width="19.109375" style="519" bestFit="1" customWidth="1"/>
    <col min="3079" max="3080" width="13.77734375" style="519" customWidth="1"/>
    <col min="3081" max="3081" width="0" style="519" hidden="1" customWidth="1"/>
    <col min="3082" max="3082" width="13.77734375" style="519" customWidth="1"/>
    <col min="3083" max="3083" width="62.44140625" style="519" bestFit="1" customWidth="1"/>
    <col min="3084" max="3084" width="10.6640625" style="519" customWidth="1"/>
    <col min="3085" max="3085" width="20.109375" style="519" customWidth="1"/>
    <col min="3086" max="3086" width="13.88671875" style="519" bestFit="1" customWidth="1"/>
    <col min="3087" max="3087" width="12.6640625" style="519" customWidth="1"/>
    <col min="3088" max="3088" width="12.6640625" style="519" bestFit="1" customWidth="1"/>
    <col min="3089" max="3089" width="14.109375" style="519" bestFit="1" customWidth="1"/>
    <col min="3090" max="3090" width="8.88671875" style="519"/>
    <col min="3091" max="3091" width="15.88671875" style="519" customWidth="1"/>
    <col min="3092" max="3331" width="8.88671875" style="519"/>
    <col min="3332" max="3332" width="8.6640625" style="519" customWidth="1"/>
    <col min="3333" max="3333" width="7.88671875" style="519" customWidth="1"/>
    <col min="3334" max="3334" width="19.109375" style="519" bestFit="1" customWidth="1"/>
    <col min="3335" max="3336" width="13.77734375" style="519" customWidth="1"/>
    <col min="3337" max="3337" width="0" style="519" hidden="1" customWidth="1"/>
    <col min="3338" max="3338" width="13.77734375" style="519" customWidth="1"/>
    <col min="3339" max="3339" width="62.44140625" style="519" bestFit="1" customWidth="1"/>
    <col min="3340" max="3340" width="10.6640625" style="519" customWidth="1"/>
    <col min="3341" max="3341" width="20.109375" style="519" customWidth="1"/>
    <col min="3342" max="3342" width="13.88671875" style="519" bestFit="1" customWidth="1"/>
    <col min="3343" max="3343" width="12.6640625" style="519" customWidth="1"/>
    <col min="3344" max="3344" width="12.6640625" style="519" bestFit="1" customWidth="1"/>
    <col min="3345" max="3345" width="14.109375" style="519" bestFit="1" customWidth="1"/>
    <col min="3346" max="3346" width="8.88671875" style="519"/>
    <col min="3347" max="3347" width="15.88671875" style="519" customWidth="1"/>
    <col min="3348" max="3587" width="8.88671875" style="519"/>
    <col min="3588" max="3588" width="8.6640625" style="519" customWidth="1"/>
    <col min="3589" max="3589" width="7.88671875" style="519" customWidth="1"/>
    <col min="3590" max="3590" width="19.109375" style="519" bestFit="1" customWidth="1"/>
    <col min="3591" max="3592" width="13.77734375" style="519" customWidth="1"/>
    <col min="3593" max="3593" width="0" style="519" hidden="1" customWidth="1"/>
    <col min="3594" max="3594" width="13.77734375" style="519" customWidth="1"/>
    <col min="3595" max="3595" width="62.44140625" style="519" bestFit="1" customWidth="1"/>
    <col min="3596" max="3596" width="10.6640625" style="519" customWidth="1"/>
    <col min="3597" max="3597" width="20.109375" style="519" customWidth="1"/>
    <col min="3598" max="3598" width="13.88671875" style="519" bestFit="1" customWidth="1"/>
    <col min="3599" max="3599" width="12.6640625" style="519" customWidth="1"/>
    <col min="3600" max="3600" width="12.6640625" style="519" bestFit="1" customWidth="1"/>
    <col min="3601" max="3601" width="14.109375" style="519" bestFit="1" customWidth="1"/>
    <col min="3602" max="3602" width="8.88671875" style="519"/>
    <col min="3603" max="3603" width="15.88671875" style="519" customWidth="1"/>
    <col min="3604" max="3843" width="8.88671875" style="519"/>
    <col min="3844" max="3844" width="8.6640625" style="519" customWidth="1"/>
    <col min="3845" max="3845" width="7.88671875" style="519" customWidth="1"/>
    <col min="3846" max="3846" width="19.109375" style="519" bestFit="1" customWidth="1"/>
    <col min="3847" max="3848" width="13.77734375" style="519" customWidth="1"/>
    <col min="3849" max="3849" width="0" style="519" hidden="1" customWidth="1"/>
    <col min="3850" max="3850" width="13.77734375" style="519" customWidth="1"/>
    <col min="3851" max="3851" width="62.44140625" style="519" bestFit="1" customWidth="1"/>
    <col min="3852" max="3852" width="10.6640625" style="519" customWidth="1"/>
    <col min="3853" max="3853" width="20.109375" style="519" customWidth="1"/>
    <col min="3854" max="3854" width="13.88671875" style="519" bestFit="1" customWidth="1"/>
    <col min="3855" max="3855" width="12.6640625" style="519" customWidth="1"/>
    <col min="3856" max="3856" width="12.6640625" style="519" bestFit="1" customWidth="1"/>
    <col min="3857" max="3857" width="14.109375" style="519" bestFit="1" customWidth="1"/>
    <col min="3858" max="3858" width="8.88671875" style="519"/>
    <col min="3859" max="3859" width="15.88671875" style="519" customWidth="1"/>
    <col min="3860" max="4099" width="8.88671875" style="519"/>
    <col min="4100" max="4100" width="8.6640625" style="519" customWidth="1"/>
    <col min="4101" max="4101" width="7.88671875" style="519" customWidth="1"/>
    <col min="4102" max="4102" width="19.109375" style="519" bestFit="1" customWidth="1"/>
    <col min="4103" max="4104" width="13.77734375" style="519" customWidth="1"/>
    <col min="4105" max="4105" width="0" style="519" hidden="1" customWidth="1"/>
    <col min="4106" max="4106" width="13.77734375" style="519" customWidth="1"/>
    <col min="4107" max="4107" width="62.44140625" style="519" bestFit="1" customWidth="1"/>
    <col min="4108" max="4108" width="10.6640625" style="519" customWidth="1"/>
    <col min="4109" max="4109" width="20.109375" style="519" customWidth="1"/>
    <col min="4110" max="4110" width="13.88671875" style="519" bestFit="1" customWidth="1"/>
    <col min="4111" max="4111" width="12.6640625" style="519" customWidth="1"/>
    <col min="4112" max="4112" width="12.6640625" style="519" bestFit="1" customWidth="1"/>
    <col min="4113" max="4113" width="14.109375" style="519" bestFit="1" customWidth="1"/>
    <col min="4114" max="4114" width="8.88671875" style="519"/>
    <col min="4115" max="4115" width="15.88671875" style="519" customWidth="1"/>
    <col min="4116" max="4355" width="8.88671875" style="519"/>
    <col min="4356" max="4356" width="8.6640625" style="519" customWidth="1"/>
    <col min="4357" max="4357" width="7.88671875" style="519" customWidth="1"/>
    <col min="4358" max="4358" width="19.109375" style="519" bestFit="1" customWidth="1"/>
    <col min="4359" max="4360" width="13.77734375" style="519" customWidth="1"/>
    <col min="4361" max="4361" width="0" style="519" hidden="1" customWidth="1"/>
    <col min="4362" max="4362" width="13.77734375" style="519" customWidth="1"/>
    <col min="4363" max="4363" width="62.44140625" style="519" bestFit="1" customWidth="1"/>
    <col min="4364" max="4364" width="10.6640625" style="519" customWidth="1"/>
    <col min="4365" max="4365" width="20.109375" style="519" customWidth="1"/>
    <col min="4366" max="4366" width="13.88671875" style="519" bestFit="1" customWidth="1"/>
    <col min="4367" max="4367" width="12.6640625" style="519" customWidth="1"/>
    <col min="4368" max="4368" width="12.6640625" style="519" bestFit="1" customWidth="1"/>
    <col min="4369" max="4369" width="14.109375" style="519" bestFit="1" customWidth="1"/>
    <col min="4370" max="4370" width="8.88671875" style="519"/>
    <col min="4371" max="4371" width="15.88671875" style="519" customWidth="1"/>
    <col min="4372" max="4611" width="8.88671875" style="519"/>
    <col min="4612" max="4612" width="8.6640625" style="519" customWidth="1"/>
    <col min="4613" max="4613" width="7.88671875" style="519" customWidth="1"/>
    <col min="4614" max="4614" width="19.109375" style="519" bestFit="1" customWidth="1"/>
    <col min="4615" max="4616" width="13.77734375" style="519" customWidth="1"/>
    <col min="4617" max="4617" width="0" style="519" hidden="1" customWidth="1"/>
    <col min="4618" max="4618" width="13.77734375" style="519" customWidth="1"/>
    <col min="4619" max="4619" width="62.44140625" style="519" bestFit="1" customWidth="1"/>
    <col min="4620" max="4620" width="10.6640625" style="519" customWidth="1"/>
    <col min="4621" max="4621" width="20.109375" style="519" customWidth="1"/>
    <col min="4622" max="4622" width="13.88671875" style="519" bestFit="1" customWidth="1"/>
    <col min="4623" max="4623" width="12.6640625" style="519" customWidth="1"/>
    <col min="4624" max="4624" width="12.6640625" style="519" bestFit="1" customWidth="1"/>
    <col min="4625" max="4625" width="14.109375" style="519" bestFit="1" customWidth="1"/>
    <col min="4626" max="4626" width="8.88671875" style="519"/>
    <col min="4627" max="4627" width="15.88671875" style="519" customWidth="1"/>
    <col min="4628" max="4867" width="8.88671875" style="519"/>
    <col min="4868" max="4868" width="8.6640625" style="519" customWidth="1"/>
    <col min="4869" max="4869" width="7.88671875" style="519" customWidth="1"/>
    <col min="4870" max="4870" width="19.109375" style="519" bestFit="1" customWidth="1"/>
    <col min="4871" max="4872" width="13.77734375" style="519" customWidth="1"/>
    <col min="4873" max="4873" width="0" style="519" hidden="1" customWidth="1"/>
    <col min="4874" max="4874" width="13.77734375" style="519" customWidth="1"/>
    <col min="4875" max="4875" width="62.44140625" style="519" bestFit="1" customWidth="1"/>
    <col min="4876" max="4876" width="10.6640625" style="519" customWidth="1"/>
    <col min="4877" max="4877" width="20.109375" style="519" customWidth="1"/>
    <col min="4878" max="4878" width="13.88671875" style="519" bestFit="1" customWidth="1"/>
    <col min="4879" max="4879" width="12.6640625" style="519" customWidth="1"/>
    <col min="4880" max="4880" width="12.6640625" style="519" bestFit="1" customWidth="1"/>
    <col min="4881" max="4881" width="14.109375" style="519" bestFit="1" customWidth="1"/>
    <col min="4882" max="4882" width="8.88671875" style="519"/>
    <col min="4883" max="4883" width="15.88671875" style="519" customWidth="1"/>
    <col min="4884" max="5123" width="8.88671875" style="519"/>
    <col min="5124" max="5124" width="8.6640625" style="519" customWidth="1"/>
    <col min="5125" max="5125" width="7.88671875" style="519" customWidth="1"/>
    <col min="5126" max="5126" width="19.109375" style="519" bestFit="1" customWidth="1"/>
    <col min="5127" max="5128" width="13.77734375" style="519" customWidth="1"/>
    <col min="5129" max="5129" width="0" style="519" hidden="1" customWidth="1"/>
    <col min="5130" max="5130" width="13.77734375" style="519" customWidth="1"/>
    <col min="5131" max="5131" width="62.44140625" style="519" bestFit="1" customWidth="1"/>
    <col min="5132" max="5132" width="10.6640625" style="519" customWidth="1"/>
    <col min="5133" max="5133" width="20.109375" style="519" customWidth="1"/>
    <col min="5134" max="5134" width="13.88671875" style="519" bestFit="1" customWidth="1"/>
    <col min="5135" max="5135" width="12.6640625" style="519" customWidth="1"/>
    <col min="5136" max="5136" width="12.6640625" style="519" bestFit="1" customWidth="1"/>
    <col min="5137" max="5137" width="14.109375" style="519" bestFit="1" customWidth="1"/>
    <col min="5138" max="5138" width="8.88671875" style="519"/>
    <col min="5139" max="5139" width="15.88671875" style="519" customWidth="1"/>
    <col min="5140" max="5379" width="8.88671875" style="519"/>
    <col min="5380" max="5380" width="8.6640625" style="519" customWidth="1"/>
    <col min="5381" max="5381" width="7.88671875" style="519" customWidth="1"/>
    <col min="5382" max="5382" width="19.109375" style="519" bestFit="1" customWidth="1"/>
    <col min="5383" max="5384" width="13.77734375" style="519" customWidth="1"/>
    <col min="5385" max="5385" width="0" style="519" hidden="1" customWidth="1"/>
    <col min="5386" max="5386" width="13.77734375" style="519" customWidth="1"/>
    <col min="5387" max="5387" width="62.44140625" style="519" bestFit="1" customWidth="1"/>
    <col min="5388" max="5388" width="10.6640625" style="519" customWidth="1"/>
    <col min="5389" max="5389" width="20.109375" style="519" customWidth="1"/>
    <col min="5390" max="5390" width="13.88671875" style="519" bestFit="1" customWidth="1"/>
    <col min="5391" max="5391" width="12.6640625" style="519" customWidth="1"/>
    <col min="5392" max="5392" width="12.6640625" style="519" bestFit="1" customWidth="1"/>
    <col min="5393" max="5393" width="14.109375" style="519" bestFit="1" customWidth="1"/>
    <col min="5394" max="5394" width="8.88671875" style="519"/>
    <col min="5395" max="5395" width="15.88671875" style="519" customWidth="1"/>
    <col min="5396" max="5635" width="8.88671875" style="519"/>
    <col min="5636" max="5636" width="8.6640625" style="519" customWidth="1"/>
    <col min="5637" max="5637" width="7.88671875" style="519" customWidth="1"/>
    <col min="5638" max="5638" width="19.109375" style="519" bestFit="1" customWidth="1"/>
    <col min="5639" max="5640" width="13.77734375" style="519" customWidth="1"/>
    <col min="5641" max="5641" width="0" style="519" hidden="1" customWidth="1"/>
    <col min="5642" max="5642" width="13.77734375" style="519" customWidth="1"/>
    <col min="5643" max="5643" width="62.44140625" style="519" bestFit="1" customWidth="1"/>
    <col min="5644" max="5644" width="10.6640625" style="519" customWidth="1"/>
    <col min="5645" max="5645" width="20.109375" style="519" customWidth="1"/>
    <col min="5646" max="5646" width="13.88671875" style="519" bestFit="1" customWidth="1"/>
    <col min="5647" max="5647" width="12.6640625" style="519" customWidth="1"/>
    <col min="5648" max="5648" width="12.6640625" style="519" bestFit="1" customWidth="1"/>
    <col min="5649" max="5649" width="14.109375" style="519" bestFit="1" customWidth="1"/>
    <col min="5650" max="5650" width="8.88671875" style="519"/>
    <col min="5651" max="5651" width="15.88671875" style="519" customWidth="1"/>
    <col min="5652" max="5891" width="8.88671875" style="519"/>
    <col min="5892" max="5892" width="8.6640625" style="519" customWidth="1"/>
    <col min="5893" max="5893" width="7.88671875" style="519" customWidth="1"/>
    <col min="5894" max="5894" width="19.109375" style="519" bestFit="1" customWidth="1"/>
    <col min="5895" max="5896" width="13.77734375" style="519" customWidth="1"/>
    <col min="5897" max="5897" width="0" style="519" hidden="1" customWidth="1"/>
    <col min="5898" max="5898" width="13.77734375" style="519" customWidth="1"/>
    <col min="5899" max="5899" width="62.44140625" style="519" bestFit="1" customWidth="1"/>
    <col min="5900" max="5900" width="10.6640625" style="519" customWidth="1"/>
    <col min="5901" max="5901" width="20.109375" style="519" customWidth="1"/>
    <col min="5902" max="5902" width="13.88671875" style="519" bestFit="1" customWidth="1"/>
    <col min="5903" max="5903" width="12.6640625" style="519" customWidth="1"/>
    <col min="5904" max="5904" width="12.6640625" style="519" bestFit="1" customWidth="1"/>
    <col min="5905" max="5905" width="14.109375" style="519" bestFit="1" customWidth="1"/>
    <col min="5906" max="5906" width="8.88671875" style="519"/>
    <col min="5907" max="5907" width="15.88671875" style="519" customWidth="1"/>
    <col min="5908" max="6147" width="8.88671875" style="519"/>
    <col min="6148" max="6148" width="8.6640625" style="519" customWidth="1"/>
    <col min="6149" max="6149" width="7.88671875" style="519" customWidth="1"/>
    <col min="6150" max="6150" width="19.109375" style="519" bestFit="1" customWidth="1"/>
    <col min="6151" max="6152" width="13.77734375" style="519" customWidth="1"/>
    <col min="6153" max="6153" width="0" style="519" hidden="1" customWidth="1"/>
    <col min="6154" max="6154" width="13.77734375" style="519" customWidth="1"/>
    <col min="6155" max="6155" width="62.44140625" style="519" bestFit="1" customWidth="1"/>
    <col min="6156" max="6156" width="10.6640625" style="519" customWidth="1"/>
    <col min="6157" max="6157" width="20.109375" style="519" customWidth="1"/>
    <col min="6158" max="6158" width="13.88671875" style="519" bestFit="1" customWidth="1"/>
    <col min="6159" max="6159" width="12.6640625" style="519" customWidth="1"/>
    <col min="6160" max="6160" width="12.6640625" style="519" bestFit="1" customWidth="1"/>
    <col min="6161" max="6161" width="14.109375" style="519" bestFit="1" customWidth="1"/>
    <col min="6162" max="6162" width="8.88671875" style="519"/>
    <col min="6163" max="6163" width="15.88671875" style="519" customWidth="1"/>
    <col min="6164" max="6403" width="8.88671875" style="519"/>
    <col min="6404" max="6404" width="8.6640625" style="519" customWidth="1"/>
    <col min="6405" max="6405" width="7.88671875" style="519" customWidth="1"/>
    <col min="6406" max="6406" width="19.109375" style="519" bestFit="1" customWidth="1"/>
    <col min="6407" max="6408" width="13.77734375" style="519" customWidth="1"/>
    <col min="6409" max="6409" width="0" style="519" hidden="1" customWidth="1"/>
    <col min="6410" max="6410" width="13.77734375" style="519" customWidth="1"/>
    <col min="6411" max="6411" width="62.44140625" style="519" bestFit="1" customWidth="1"/>
    <col min="6412" max="6412" width="10.6640625" style="519" customWidth="1"/>
    <col min="6413" max="6413" width="20.109375" style="519" customWidth="1"/>
    <col min="6414" max="6414" width="13.88671875" style="519" bestFit="1" customWidth="1"/>
    <col min="6415" max="6415" width="12.6640625" style="519" customWidth="1"/>
    <col min="6416" max="6416" width="12.6640625" style="519" bestFit="1" customWidth="1"/>
    <col min="6417" max="6417" width="14.109375" style="519" bestFit="1" customWidth="1"/>
    <col min="6418" max="6418" width="8.88671875" style="519"/>
    <col min="6419" max="6419" width="15.88671875" style="519" customWidth="1"/>
    <col min="6420" max="6659" width="8.88671875" style="519"/>
    <col min="6660" max="6660" width="8.6640625" style="519" customWidth="1"/>
    <col min="6661" max="6661" width="7.88671875" style="519" customWidth="1"/>
    <col min="6662" max="6662" width="19.109375" style="519" bestFit="1" customWidth="1"/>
    <col min="6663" max="6664" width="13.77734375" style="519" customWidth="1"/>
    <col min="6665" max="6665" width="0" style="519" hidden="1" customWidth="1"/>
    <col min="6666" max="6666" width="13.77734375" style="519" customWidth="1"/>
    <col min="6667" max="6667" width="62.44140625" style="519" bestFit="1" customWidth="1"/>
    <col min="6668" max="6668" width="10.6640625" style="519" customWidth="1"/>
    <col min="6669" max="6669" width="20.109375" style="519" customWidth="1"/>
    <col min="6670" max="6670" width="13.88671875" style="519" bestFit="1" customWidth="1"/>
    <col min="6671" max="6671" width="12.6640625" style="519" customWidth="1"/>
    <col min="6672" max="6672" width="12.6640625" style="519" bestFit="1" customWidth="1"/>
    <col min="6673" max="6673" width="14.109375" style="519" bestFit="1" customWidth="1"/>
    <col min="6674" max="6674" width="8.88671875" style="519"/>
    <col min="6675" max="6675" width="15.88671875" style="519" customWidth="1"/>
    <col min="6676" max="6915" width="8.88671875" style="519"/>
    <col min="6916" max="6916" width="8.6640625" style="519" customWidth="1"/>
    <col min="6917" max="6917" width="7.88671875" style="519" customWidth="1"/>
    <col min="6918" max="6918" width="19.109375" style="519" bestFit="1" customWidth="1"/>
    <col min="6919" max="6920" width="13.77734375" style="519" customWidth="1"/>
    <col min="6921" max="6921" width="0" style="519" hidden="1" customWidth="1"/>
    <col min="6922" max="6922" width="13.77734375" style="519" customWidth="1"/>
    <col min="6923" max="6923" width="62.44140625" style="519" bestFit="1" customWidth="1"/>
    <col min="6924" max="6924" width="10.6640625" style="519" customWidth="1"/>
    <col min="6925" max="6925" width="20.109375" style="519" customWidth="1"/>
    <col min="6926" max="6926" width="13.88671875" style="519" bestFit="1" customWidth="1"/>
    <col min="6927" max="6927" width="12.6640625" style="519" customWidth="1"/>
    <col min="6928" max="6928" width="12.6640625" style="519" bestFit="1" customWidth="1"/>
    <col min="6929" max="6929" width="14.109375" style="519" bestFit="1" customWidth="1"/>
    <col min="6930" max="6930" width="8.88671875" style="519"/>
    <col min="6931" max="6931" width="15.88671875" style="519" customWidth="1"/>
    <col min="6932" max="7171" width="8.88671875" style="519"/>
    <col min="7172" max="7172" width="8.6640625" style="519" customWidth="1"/>
    <col min="7173" max="7173" width="7.88671875" style="519" customWidth="1"/>
    <col min="7174" max="7174" width="19.109375" style="519" bestFit="1" customWidth="1"/>
    <col min="7175" max="7176" width="13.77734375" style="519" customWidth="1"/>
    <col min="7177" max="7177" width="0" style="519" hidden="1" customWidth="1"/>
    <col min="7178" max="7178" width="13.77734375" style="519" customWidth="1"/>
    <col min="7179" max="7179" width="62.44140625" style="519" bestFit="1" customWidth="1"/>
    <col min="7180" max="7180" width="10.6640625" style="519" customWidth="1"/>
    <col min="7181" max="7181" width="20.109375" style="519" customWidth="1"/>
    <col min="7182" max="7182" width="13.88671875" style="519" bestFit="1" customWidth="1"/>
    <col min="7183" max="7183" width="12.6640625" style="519" customWidth="1"/>
    <col min="7184" max="7184" width="12.6640625" style="519" bestFit="1" customWidth="1"/>
    <col min="7185" max="7185" width="14.109375" style="519" bestFit="1" customWidth="1"/>
    <col min="7186" max="7186" width="8.88671875" style="519"/>
    <col min="7187" max="7187" width="15.88671875" style="519" customWidth="1"/>
    <col min="7188" max="7427" width="8.88671875" style="519"/>
    <col min="7428" max="7428" width="8.6640625" style="519" customWidth="1"/>
    <col min="7429" max="7429" width="7.88671875" style="519" customWidth="1"/>
    <col min="7430" max="7430" width="19.109375" style="519" bestFit="1" customWidth="1"/>
    <col min="7431" max="7432" width="13.77734375" style="519" customWidth="1"/>
    <col min="7433" max="7433" width="0" style="519" hidden="1" customWidth="1"/>
    <col min="7434" max="7434" width="13.77734375" style="519" customWidth="1"/>
    <col min="7435" max="7435" width="62.44140625" style="519" bestFit="1" customWidth="1"/>
    <col min="7436" max="7436" width="10.6640625" style="519" customWidth="1"/>
    <col min="7437" max="7437" width="20.109375" style="519" customWidth="1"/>
    <col min="7438" max="7438" width="13.88671875" style="519" bestFit="1" customWidth="1"/>
    <col min="7439" max="7439" width="12.6640625" style="519" customWidth="1"/>
    <col min="7440" max="7440" width="12.6640625" style="519" bestFit="1" customWidth="1"/>
    <col min="7441" max="7441" width="14.109375" style="519" bestFit="1" customWidth="1"/>
    <col min="7442" max="7442" width="8.88671875" style="519"/>
    <col min="7443" max="7443" width="15.88671875" style="519" customWidth="1"/>
    <col min="7444" max="7683" width="8.88671875" style="519"/>
    <col min="7684" max="7684" width="8.6640625" style="519" customWidth="1"/>
    <col min="7685" max="7685" width="7.88671875" style="519" customWidth="1"/>
    <col min="7686" max="7686" width="19.109375" style="519" bestFit="1" customWidth="1"/>
    <col min="7687" max="7688" width="13.77734375" style="519" customWidth="1"/>
    <col min="7689" max="7689" width="0" style="519" hidden="1" customWidth="1"/>
    <col min="7690" max="7690" width="13.77734375" style="519" customWidth="1"/>
    <col min="7691" max="7691" width="62.44140625" style="519" bestFit="1" customWidth="1"/>
    <col min="7692" max="7692" width="10.6640625" style="519" customWidth="1"/>
    <col min="7693" max="7693" width="20.109375" style="519" customWidth="1"/>
    <col min="7694" max="7694" width="13.88671875" style="519" bestFit="1" customWidth="1"/>
    <col min="7695" max="7695" width="12.6640625" style="519" customWidth="1"/>
    <col min="7696" max="7696" width="12.6640625" style="519" bestFit="1" customWidth="1"/>
    <col min="7697" max="7697" width="14.109375" style="519" bestFit="1" customWidth="1"/>
    <col min="7698" max="7698" width="8.88671875" style="519"/>
    <col min="7699" max="7699" width="15.88671875" style="519" customWidth="1"/>
    <col min="7700" max="7939" width="8.88671875" style="519"/>
    <col min="7940" max="7940" width="8.6640625" style="519" customWidth="1"/>
    <col min="7941" max="7941" width="7.88671875" style="519" customWidth="1"/>
    <col min="7942" max="7942" width="19.109375" style="519" bestFit="1" customWidth="1"/>
    <col min="7943" max="7944" width="13.77734375" style="519" customWidth="1"/>
    <col min="7945" max="7945" width="0" style="519" hidden="1" customWidth="1"/>
    <col min="7946" max="7946" width="13.77734375" style="519" customWidth="1"/>
    <col min="7947" max="7947" width="62.44140625" style="519" bestFit="1" customWidth="1"/>
    <col min="7948" max="7948" width="10.6640625" style="519" customWidth="1"/>
    <col min="7949" max="7949" width="20.109375" style="519" customWidth="1"/>
    <col min="7950" max="7950" width="13.88671875" style="519" bestFit="1" customWidth="1"/>
    <col min="7951" max="7951" width="12.6640625" style="519" customWidth="1"/>
    <col min="7952" max="7952" width="12.6640625" style="519" bestFit="1" customWidth="1"/>
    <col min="7953" max="7953" width="14.109375" style="519" bestFit="1" customWidth="1"/>
    <col min="7954" max="7954" width="8.88671875" style="519"/>
    <col min="7955" max="7955" width="15.88671875" style="519" customWidth="1"/>
    <col min="7956" max="8195" width="8.88671875" style="519"/>
    <col min="8196" max="8196" width="8.6640625" style="519" customWidth="1"/>
    <col min="8197" max="8197" width="7.88671875" style="519" customWidth="1"/>
    <col min="8198" max="8198" width="19.109375" style="519" bestFit="1" customWidth="1"/>
    <col min="8199" max="8200" width="13.77734375" style="519" customWidth="1"/>
    <col min="8201" max="8201" width="0" style="519" hidden="1" customWidth="1"/>
    <col min="8202" max="8202" width="13.77734375" style="519" customWidth="1"/>
    <col min="8203" max="8203" width="62.44140625" style="519" bestFit="1" customWidth="1"/>
    <col min="8204" max="8204" width="10.6640625" style="519" customWidth="1"/>
    <col min="8205" max="8205" width="20.109375" style="519" customWidth="1"/>
    <col min="8206" max="8206" width="13.88671875" style="519" bestFit="1" customWidth="1"/>
    <col min="8207" max="8207" width="12.6640625" style="519" customWidth="1"/>
    <col min="8208" max="8208" width="12.6640625" style="519" bestFit="1" customWidth="1"/>
    <col min="8209" max="8209" width="14.109375" style="519" bestFit="1" customWidth="1"/>
    <col min="8210" max="8210" width="8.88671875" style="519"/>
    <col min="8211" max="8211" width="15.88671875" style="519" customWidth="1"/>
    <col min="8212" max="8451" width="8.88671875" style="519"/>
    <col min="8452" max="8452" width="8.6640625" style="519" customWidth="1"/>
    <col min="8453" max="8453" width="7.88671875" style="519" customWidth="1"/>
    <col min="8454" max="8454" width="19.109375" style="519" bestFit="1" customWidth="1"/>
    <col min="8455" max="8456" width="13.77734375" style="519" customWidth="1"/>
    <col min="8457" max="8457" width="0" style="519" hidden="1" customWidth="1"/>
    <col min="8458" max="8458" width="13.77734375" style="519" customWidth="1"/>
    <col min="8459" max="8459" width="62.44140625" style="519" bestFit="1" customWidth="1"/>
    <col min="8460" max="8460" width="10.6640625" style="519" customWidth="1"/>
    <col min="8461" max="8461" width="20.109375" style="519" customWidth="1"/>
    <col min="8462" max="8462" width="13.88671875" style="519" bestFit="1" customWidth="1"/>
    <col min="8463" max="8463" width="12.6640625" style="519" customWidth="1"/>
    <col min="8464" max="8464" width="12.6640625" style="519" bestFit="1" customWidth="1"/>
    <col min="8465" max="8465" width="14.109375" style="519" bestFit="1" customWidth="1"/>
    <col min="8466" max="8466" width="8.88671875" style="519"/>
    <col min="8467" max="8467" width="15.88671875" style="519" customWidth="1"/>
    <col min="8468" max="8707" width="8.88671875" style="519"/>
    <col min="8708" max="8708" width="8.6640625" style="519" customWidth="1"/>
    <col min="8709" max="8709" width="7.88671875" style="519" customWidth="1"/>
    <col min="8710" max="8710" width="19.109375" style="519" bestFit="1" customWidth="1"/>
    <col min="8711" max="8712" width="13.77734375" style="519" customWidth="1"/>
    <col min="8713" max="8713" width="0" style="519" hidden="1" customWidth="1"/>
    <col min="8714" max="8714" width="13.77734375" style="519" customWidth="1"/>
    <col min="8715" max="8715" width="62.44140625" style="519" bestFit="1" customWidth="1"/>
    <col min="8716" max="8716" width="10.6640625" style="519" customWidth="1"/>
    <col min="8717" max="8717" width="20.109375" style="519" customWidth="1"/>
    <col min="8718" max="8718" width="13.88671875" style="519" bestFit="1" customWidth="1"/>
    <col min="8719" max="8719" width="12.6640625" style="519" customWidth="1"/>
    <col min="8720" max="8720" width="12.6640625" style="519" bestFit="1" customWidth="1"/>
    <col min="8721" max="8721" width="14.109375" style="519" bestFit="1" customWidth="1"/>
    <col min="8722" max="8722" width="8.88671875" style="519"/>
    <col min="8723" max="8723" width="15.88671875" style="519" customWidth="1"/>
    <col min="8724" max="8963" width="8.88671875" style="519"/>
    <col min="8964" max="8964" width="8.6640625" style="519" customWidth="1"/>
    <col min="8965" max="8965" width="7.88671875" style="519" customWidth="1"/>
    <col min="8966" max="8966" width="19.109375" style="519" bestFit="1" customWidth="1"/>
    <col min="8967" max="8968" width="13.77734375" style="519" customWidth="1"/>
    <col min="8969" max="8969" width="0" style="519" hidden="1" customWidth="1"/>
    <col min="8970" max="8970" width="13.77734375" style="519" customWidth="1"/>
    <col min="8971" max="8971" width="62.44140625" style="519" bestFit="1" customWidth="1"/>
    <col min="8972" max="8972" width="10.6640625" style="519" customWidth="1"/>
    <col min="8973" max="8973" width="20.109375" style="519" customWidth="1"/>
    <col min="8974" max="8974" width="13.88671875" style="519" bestFit="1" customWidth="1"/>
    <col min="8975" max="8975" width="12.6640625" style="519" customWidth="1"/>
    <col min="8976" max="8976" width="12.6640625" style="519" bestFit="1" customWidth="1"/>
    <col min="8977" max="8977" width="14.109375" style="519" bestFit="1" customWidth="1"/>
    <col min="8978" max="8978" width="8.88671875" style="519"/>
    <col min="8979" max="8979" width="15.88671875" style="519" customWidth="1"/>
    <col min="8980" max="9219" width="8.88671875" style="519"/>
    <col min="9220" max="9220" width="8.6640625" style="519" customWidth="1"/>
    <col min="9221" max="9221" width="7.88671875" style="519" customWidth="1"/>
    <col min="9222" max="9222" width="19.109375" style="519" bestFit="1" customWidth="1"/>
    <col min="9223" max="9224" width="13.77734375" style="519" customWidth="1"/>
    <col min="9225" max="9225" width="0" style="519" hidden="1" customWidth="1"/>
    <col min="9226" max="9226" width="13.77734375" style="519" customWidth="1"/>
    <col min="9227" max="9227" width="62.44140625" style="519" bestFit="1" customWidth="1"/>
    <col min="9228" max="9228" width="10.6640625" style="519" customWidth="1"/>
    <col min="9229" max="9229" width="20.109375" style="519" customWidth="1"/>
    <col min="9230" max="9230" width="13.88671875" style="519" bestFit="1" customWidth="1"/>
    <col min="9231" max="9231" width="12.6640625" style="519" customWidth="1"/>
    <col min="9232" max="9232" width="12.6640625" style="519" bestFit="1" customWidth="1"/>
    <col min="9233" max="9233" width="14.109375" style="519" bestFit="1" customWidth="1"/>
    <col min="9234" max="9234" width="8.88671875" style="519"/>
    <col min="9235" max="9235" width="15.88671875" style="519" customWidth="1"/>
    <col min="9236" max="9475" width="8.88671875" style="519"/>
    <col min="9476" max="9476" width="8.6640625" style="519" customWidth="1"/>
    <col min="9477" max="9477" width="7.88671875" style="519" customWidth="1"/>
    <col min="9478" max="9478" width="19.109375" style="519" bestFit="1" customWidth="1"/>
    <col min="9479" max="9480" width="13.77734375" style="519" customWidth="1"/>
    <col min="9481" max="9481" width="0" style="519" hidden="1" customWidth="1"/>
    <col min="9482" max="9482" width="13.77734375" style="519" customWidth="1"/>
    <col min="9483" max="9483" width="62.44140625" style="519" bestFit="1" customWidth="1"/>
    <col min="9484" max="9484" width="10.6640625" style="519" customWidth="1"/>
    <col min="9485" max="9485" width="20.109375" style="519" customWidth="1"/>
    <col min="9486" max="9486" width="13.88671875" style="519" bestFit="1" customWidth="1"/>
    <col min="9487" max="9487" width="12.6640625" style="519" customWidth="1"/>
    <col min="9488" max="9488" width="12.6640625" style="519" bestFit="1" customWidth="1"/>
    <col min="9489" max="9489" width="14.109375" style="519" bestFit="1" customWidth="1"/>
    <col min="9490" max="9490" width="8.88671875" style="519"/>
    <col min="9491" max="9491" width="15.88671875" style="519" customWidth="1"/>
    <col min="9492" max="9731" width="8.88671875" style="519"/>
    <col min="9732" max="9732" width="8.6640625" style="519" customWidth="1"/>
    <col min="9733" max="9733" width="7.88671875" style="519" customWidth="1"/>
    <col min="9734" max="9734" width="19.109375" style="519" bestFit="1" customWidth="1"/>
    <col min="9735" max="9736" width="13.77734375" style="519" customWidth="1"/>
    <col min="9737" max="9737" width="0" style="519" hidden="1" customWidth="1"/>
    <col min="9738" max="9738" width="13.77734375" style="519" customWidth="1"/>
    <col min="9739" max="9739" width="62.44140625" style="519" bestFit="1" customWidth="1"/>
    <col min="9740" max="9740" width="10.6640625" style="519" customWidth="1"/>
    <col min="9741" max="9741" width="20.109375" style="519" customWidth="1"/>
    <col min="9742" max="9742" width="13.88671875" style="519" bestFit="1" customWidth="1"/>
    <col min="9743" max="9743" width="12.6640625" style="519" customWidth="1"/>
    <col min="9744" max="9744" width="12.6640625" style="519" bestFit="1" customWidth="1"/>
    <col min="9745" max="9745" width="14.109375" style="519" bestFit="1" customWidth="1"/>
    <col min="9746" max="9746" width="8.88671875" style="519"/>
    <col min="9747" max="9747" width="15.88671875" style="519" customWidth="1"/>
    <col min="9748" max="9987" width="8.88671875" style="519"/>
    <col min="9988" max="9988" width="8.6640625" style="519" customWidth="1"/>
    <col min="9989" max="9989" width="7.88671875" style="519" customWidth="1"/>
    <col min="9990" max="9990" width="19.109375" style="519" bestFit="1" customWidth="1"/>
    <col min="9991" max="9992" width="13.77734375" style="519" customWidth="1"/>
    <col min="9993" max="9993" width="0" style="519" hidden="1" customWidth="1"/>
    <col min="9994" max="9994" width="13.77734375" style="519" customWidth="1"/>
    <col min="9995" max="9995" width="62.44140625" style="519" bestFit="1" customWidth="1"/>
    <col min="9996" max="9996" width="10.6640625" style="519" customWidth="1"/>
    <col min="9997" max="9997" width="20.109375" style="519" customWidth="1"/>
    <col min="9998" max="9998" width="13.88671875" style="519" bestFit="1" customWidth="1"/>
    <col min="9999" max="9999" width="12.6640625" style="519" customWidth="1"/>
    <col min="10000" max="10000" width="12.6640625" style="519" bestFit="1" customWidth="1"/>
    <col min="10001" max="10001" width="14.109375" style="519" bestFit="1" customWidth="1"/>
    <col min="10002" max="10002" width="8.88671875" style="519"/>
    <col min="10003" max="10003" width="15.88671875" style="519" customWidth="1"/>
    <col min="10004" max="10243" width="8.88671875" style="519"/>
    <col min="10244" max="10244" width="8.6640625" style="519" customWidth="1"/>
    <col min="10245" max="10245" width="7.88671875" style="519" customWidth="1"/>
    <col min="10246" max="10246" width="19.109375" style="519" bestFit="1" customWidth="1"/>
    <col min="10247" max="10248" width="13.77734375" style="519" customWidth="1"/>
    <col min="10249" max="10249" width="0" style="519" hidden="1" customWidth="1"/>
    <col min="10250" max="10250" width="13.77734375" style="519" customWidth="1"/>
    <col min="10251" max="10251" width="62.44140625" style="519" bestFit="1" customWidth="1"/>
    <col min="10252" max="10252" width="10.6640625" style="519" customWidth="1"/>
    <col min="10253" max="10253" width="20.109375" style="519" customWidth="1"/>
    <col min="10254" max="10254" width="13.88671875" style="519" bestFit="1" customWidth="1"/>
    <col min="10255" max="10255" width="12.6640625" style="519" customWidth="1"/>
    <col min="10256" max="10256" width="12.6640625" style="519" bestFit="1" customWidth="1"/>
    <col min="10257" max="10257" width="14.109375" style="519" bestFit="1" customWidth="1"/>
    <col min="10258" max="10258" width="8.88671875" style="519"/>
    <col min="10259" max="10259" width="15.88671875" style="519" customWidth="1"/>
    <col min="10260" max="10499" width="8.88671875" style="519"/>
    <col min="10500" max="10500" width="8.6640625" style="519" customWidth="1"/>
    <col min="10501" max="10501" width="7.88671875" style="519" customWidth="1"/>
    <col min="10502" max="10502" width="19.109375" style="519" bestFit="1" customWidth="1"/>
    <col min="10503" max="10504" width="13.77734375" style="519" customWidth="1"/>
    <col min="10505" max="10505" width="0" style="519" hidden="1" customWidth="1"/>
    <col min="10506" max="10506" width="13.77734375" style="519" customWidth="1"/>
    <col min="10507" max="10507" width="62.44140625" style="519" bestFit="1" customWidth="1"/>
    <col min="10508" max="10508" width="10.6640625" style="519" customWidth="1"/>
    <col min="10509" max="10509" width="20.109375" style="519" customWidth="1"/>
    <col min="10510" max="10510" width="13.88671875" style="519" bestFit="1" customWidth="1"/>
    <col min="10511" max="10511" width="12.6640625" style="519" customWidth="1"/>
    <col min="10512" max="10512" width="12.6640625" style="519" bestFit="1" customWidth="1"/>
    <col min="10513" max="10513" width="14.109375" style="519" bestFit="1" customWidth="1"/>
    <col min="10514" max="10514" width="8.88671875" style="519"/>
    <col min="10515" max="10515" width="15.88671875" style="519" customWidth="1"/>
    <col min="10516" max="10755" width="8.88671875" style="519"/>
    <col min="10756" max="10756" width="8.6640625" style="519" customWidth="1"/>
    <col min="10757" max="10757" width="7.88671875" style="519" customWidth="1"/>
    <col min="10758" max="10758" width="19.109375" style="519" bestFit="1" customWidth="1"/>
    <col min="10759" max="10760" width="13.77734375" style="519" customWidth="1"/>
    <col min="10761" max="10761" width="0" style="519" hidden="1" customWidth="1"/>
    <col min="10762" max="10762" width="13.77734375" style="519" customWidth="1"/>
    <col min="10763" max="10763" width="62.44140625" style="519" bestFit="1" customWidth="1"/>
    <col min="10764" max="10764" width="10.6640625" style="519" customWidth="1"/>
    <col min="10765" max="10765" width="20.109375" style="519" customWidth="1"/>
    <col min="10766" max="10766" width="13.88671875" style="519" bestFit="1" customWidth="1"/>
    <col min="10767" max="10767" width="12.6640625" style="519" customWidth="1"/>
    <col min="10768" max="10768" width="12.6640625" style="519" bestFit="1" customWidth="1"/>
    <col min="10769" max="10769" width="14.109375" style="519" bestFit="1" customWidth="1"/>
    <col min="10770" max="10770" width="8.88671875" style="519"/>
    <col min="10771" max="10771" width="15.88671875" style="519" customWidth="1"/>
    <col min="10772" max="11011" width="8.88671875" style="519"/>
    <col min="11012" max="11012" width="8.6640625" style="519" customWidth="1"/>
    <col min="11013" max="11013" width="7.88671875" style="519" customWidth="1"/>
    <col min="11014" max="11014" width="19.109375" style="519" bestFit="1" customWidth="1"/>
    <col min="11015" max="11016" width="13.77734375" style="519" customWidth="1"/>
    <col min="11017" max="11017" width="0" style="519" hidden="1" customWidth="1"/>
    <col min="11018" max="11018" width="13.77734375" style="519" customWidth="1"/>
    <col min="11019" max="11019" width="62.44140625" style="519" bestFit="1" customWidth="1"/>
    <col min="11020" max="11020" width="10.6640625" style="519" customWidth="1"/>
    <col min="11021" max="11021" width="20.109375" style="519" customWidth="1"/>
    <col min="11022" max="11022" width="13.88671875" style="519" bestFit="1" customWidth="1"/>
    <col min="11023" max="11023" width="12.6640625" style="519" customWidth="1"/>
    <col min="11024" max="11024" width="12.6640625" style="519" bestFit="1" customWidth="1"/>
    <col min="11025" max="11025" width="14.109375" style="519" bestFit="1" customWidth="1"/>
    <col min="11026" max="11026" width="8.88671875" style="519"/>
    <col min="11027" max="11027" width="15.88671875" style="519" customWidth="1"/>
    <col min="11028" max="11267" width="8.88671875" style="519"/>
    <col min="11268" max="11268" width="8.6640625" style="519" customWidth="1"/>
    <col min="11269" max="11269" width="7.88671875" style="519" customWidth="1"/>
    <col min="11270" max="11270" width="19.109375" style="519" bestFit="1" customWidth="1"/>
    <col min="11271" max="11272" width="13.77734375" style="519" customWidth="1"/>
    <col min="11273" max="11273" width="0" style="519" hidden="1" customWidth="1"/>
    <col min="11274" max="11274" width="13.77734375" style="519" customWidth="1"/>
    <col min="11275" max="11275" width="62.44140625" style="519" bestFit="1" customWidth="1"/>
    <col min="11276" max="11276" width="10.6640625" style="519" customWidth="1"/>
    <col min="11277" max="11277" width="20.109375" style="519" customWidth="1"/>
    <col min="11278" max="11278" width="13.88671875" style="519" bestFit="1" customWidth="1"/>
    <col min="11279" max="11279" width="12.6640625" style="519" customWidth="1"/>
    <col min="11280" max="11280" width="12.6640625" style="519" bestFit="1" customWidth="1"/>
    <col min="11281" max="11281" width="14.109375" style="519" bestFit="1" customWidth="1"/>
    <col min="11282" max="11282" width="8.88671875" style="519"/>
    <col min="11283" max="11283" width="15.88671875" style="519" customWidth="1"/>
    <col min="11284" max="11523" width="8.88671875" style="519"/>
    <col min="11524" max="11524" width="8.6640625" style="519" customWidth="1"/>
    <col min="11525" max="11525" width="7.88671875" style="519" customWidth="1"/>
    <col min="11526" max="11526" width="19.109375" style="519" bestFit="1" customWidth="1"/>
    <col min="11527" max="11528" width="13.77734375" style="519" customWidth="1"/>
    <col min="11529" max="11529" width="0" style="519" hidden="1" customWidth="1"/>
    <col min="11530" max="11530" width="13.77734375" style="519" customWidth="1"/>
    <col min="11531" max="11531" width="62.44140625" style="519" bestFit="1" customWidth="1"/>
    <col min="11532" max="11532" width="10.6640625" style="519" customWidth="1"/>
    <col min="11533" max="11533" width="20.109375" style="519" customWidth="1"/>
    <col min="11534" max="11534" width="13.88671875" style="519" bestFit="1" customWidth="1"/>
    <col min="11535" max="11535" width="12.6640625" style="519" customWidth="1"/>
    <col min="11536" max="11536" width="12.6640625" style="519" bestFit="1" customWidth="1"/>
    <col min="11537" max="11537" width="14.109375" style="519" bestFit="1" customWidth="1"/>
    <col min="11538" max="11538" width="8.88671875" style="519"/>
    <col min="11539" max="11539" width="15.88671875" style="519" customWidth="1"/>
    <col min="11540" max="11779" width="8.88671875" style="519"/>
    <col min="11780" max="11780" width="8.6640625" style="519" customWidth="1"/>
    <col min="11781" max="11781" width="7.88671875" style="519" customWidth="1"/>
    <col min="11782" max="11782" width="19.109375" style="519" bestFit="1" customWidth="1"/>
    <col min="11783" max="11784" width="13.77734375" style="519" customWidth="1"/>
    <col min="11785" max="11785" width="0" style="519" hidden="1" customWidth="1"/>
    <col min="11786" max="11786" width="13.77734375" style="519" customWidth="1"/>
    <col min="11787" max="11787" width="62.44140625" style="519" bestFit="1" customWidth="1"/>
    <col min="11788" max="11788" width="10.6640625" style="519" customWidth="1"/>
    <col min="11789" max="11789" width="20.109375" style="519" customWidth="1"/>
    <col min="11790" max="11790" width="13.88671875" style="519" bestFit="1" customWidth="1"/>
    <col min="11791" max="11791" width="12.6640625" style="519" customWidth="1"/>
    <col min="11792" max="11792" width="12.6640625" style="519" bestFit="1" customWidth="1"/>
    <col min="11793" max="11793" width="14.109375" style="519" bestFit="1" customWidth="1"/>
    <col min="11794" max="11794" width="8.88671875" style="519"/>
    <col min="11795" max="11795" width="15.88671875" style="519" customWidth="1"/>
    <col min="11796" max="12035" width="8.88671875" style="519"/>
    <col min="12036" max="12036" width="8.6640625" style="519" customWidth="1"/>
    <col min="12037" max="12037" width="7.88671875" style="519" customWidth="1"/>
    <col min="12038" max="12038" width="19.109375" style="519" bestFit="1" customWidth="1"/>
    <col min="12039" max="12040" width="13.77734375" style="519" customWidth="1"/>
    <col min="12041" max="12041" width="0" style="519" hidden="1" customWidth="1"/>
    <col min="12042" max="12042" width="13.77734375" style="519" customWidth="1"/>
    <col min="12043" max="12043" width="62.44140625" style="519" bestFit="1" customWidth="1"/>
    <col min="12044" max="12044" width="10.6640625" style="519" customWidth="1"/>
    <col min="12045" max="12045" width="20.109375" style="519" customWidth="1"/>
    <col min="12046" max="12046" width="13.88671875" style="519" bestFit="1" customWidth="1"/>
    <col min="12047" max="12047" width="12.6640625" style="519" customWidth="1"/>
    <col min="12048" max="12048" width="12.6640625" style="519" bestFit="1" customWidth="1"/>
    <col min="12049" max="12049" width="14.109375" style="519" bestFit="1" customWidth="1"/>
    <col min="12050" max="12050" width="8.88671875" style="519"/>
    <col min="12051" max="12051" width="15.88671875" style="519" customWidth="1"/>
    <col min="12052" max="12291" width="8.88671875" style="519"/>
    <col min="12292" max="12292" width="8.6640625" style="519" customWidth="1"/>
    <col min="12293" max="12293" width="7.88671875" style="519" customWidth="1"/>
    <col min="12294" max="12294" width="19.109375" style="519" bestFit="1" customWidth="1"/>
    <col min="12295" max="12296" width="13.77734375" style="519" customWidth="1"/>
    <col min="12297" max="12297" width="0" style="519" hidden="1" customWidth="1"/>
    <col min="12298" max="12298" width="13.77734375" style="519" customWidth="1"/>
    <col min="12299" max="12299" width="62.44140625" style="519" bestFit="1" customWidth="1"/>
    <col min="12300" max="12300" width="10.6640625" style="519" customWidth="1"/>
    <col min="12301" max="12301" width="20.109375" style="519" customWidth="1"/>
    <col min="12302" max="12302" width="13.88671875" style="519" bestFit="1" customWidth="1"/>
    <col min="12303" max="12303" width="12.6640625" style="519" customWidth="1"/>
    <col min="12304" max="12304" width="12.6640625" style="519" bestFit="1" customWidth="1"/>
    <col min="12305" max="12305" width="14.109375" style="519" bestFit="1" customWidth="1"/>
    <col min="12306" max="12306" width="8.88671875" style="519"/>
    <col min="12307" max="12307" width="15.88671875" style="519" customWidth="1"/>
    <col min="12308" max="12547" width="8.88671875" style="519"/>
    <col min="12548" max="12548" width="8.6640625" style="519" customWidth="1"/>
    <col min="12549" max="12549" width="7.88671875" style="519" customWidth="1"/>
    <col min="12550" max="12550" width="19.109375" style="519" bestFit="1" customWidth="1"/>
    <col min="12551" max="12552" width="13.77734375" style="519" customWidth="1"/>
    <col min="12553" max="12553" width="0" style="519" hidden="1" customWidth="1"/>
    <col min="12554" max="12554" width="13.77734375" style="519" customWidth="1"/>
    <col min="12555" max="12555" width="62.44140625" style="519" bestFit="1" customWidth="1"/>
    <col min="12556" max="12556" width="10.6640625" style="519" customWidth="1"/>
    <col min="12557" max="12557" width="20.109375" style="519" customWidth="1"/>
    <col min="12558" max="12558" width="13.88671875" style="519" bestFit="1" customWidth="1"/>
    <col min="12559" max="12559" width="12.6640625" style="519" customWidth="1"/>
    <col min="12560" max="12560" width="12.6640625" style="519" bestFit="1" customWidth="1"/>
    <col min="12561" max="12561" width="14.109375" style="519" bestFit="1" customWidth="1"/>
    <col min="12562" max="12562" width="8.88671875" style="519"/>
    <col min="12563" max="12563" width="15.88671875" style="519" customWidth="1"/>
    <col min="12564" max="12803" width="8.88671875" style="519"/>
    <col min="12804" max="12804" width="8.6640625" style="519" customWidth="1"/>
    <col min="12805" max="12805" width="7.88671875" style="519" customWidth="1"/>
    <col min="12806" max="12806" width="19.109375" style="519" bestFit="1" customWidth="1"/>
    <col min="12807" max="12808" width="13.77734375" style="519" customWidth="1"/>
    <col min="12809" max="12809" width="0" style="519" hidden="1" customWidth="1"/>
    <col min="12810" max="12810" width="13.77734375" style="519" customWidth="1"/>
    <col min="12811" max="12811" width="62.44140625" style="519" bestFit="1" customWidth="1"/>
    <col min="12812" max="12812" width="10.6640625" style="519" customWidth="1"/>
    <col min="12813" max="12813" width="20.109375" style="519" customWidth="1"/>
    <col min="12814" max="12814" width="13.88671875" style="519" bestFit="1" customWidth="1"/>
    <col min="12815" max="12815" width="12.6640625" style="519" customWidth="1"/>
    <col min="12816" max="12816" width="12.6640625" style="519" bestFit="1" customWidth="1"/>
    <col min="12817" max="12817" width="14.109375" style="519" bestFit="1" customWidth="1"/>
    <col min="12818" max="12818" width="8.88671875" style="519"/>
    <col min="12819" max="12819" width="15.88671875" style="519" customWidth="1"/>
    <col min="12820" max="13059" width="8.88671875" style="519"/>
    <col min="13060" max="13060" width="8.6640625" style="519" customWidth="1"/>
    <col min="13061" max="13061" width="7.88671875" style="519" customWidth="1"/>
    <col min="13062" max="13062" width="19.109375" style="519" bestFit="1" customWidth="1"/>
    <col min="13063" max="13064" width="13.77734375" style="519" customWidth="1"/>
    <col min="13065" max="13065" width="0" style="519" hidden="1" customWidth="1"/>
    <col min="13066" max="13066" width="13.77734375" style="519" customWidth="1"/>
    <col min="13067" max="13067" width="62.44140625" style="519" bestFit="1" customWidth="1"/>
    <col min="13068" max="13068" width="10.6640625" style="519" customWidth="1"/>
    <col min="13069" max="13069" width="20.109375" style="519" customWidth="1"/>
    <col min="13070" max="13070" width="13.88671875" style="519" bestFit="1" customWidth="1"/>
    <col min="13071" max="13071" width="12.6640625" style="519" customWidth="1"/>
    <col min="13072" max="13072" width="12.6640625" style="519" bestFit="1" customWidth="1"/>
    <col min="13073" max="13073" width="14.109375" style="519" bestFit="1" customWidth="1"/>
    <col min="13074" max="13074" width="8.88671875" style="519"/>
    <col min="13075" max="13075" width="15.88671875" style="519" customWidth="1"/>
    <col min="13076" max="13315" width="8.88671875" style="519"/>
    <col min="13316" max="13316" width="8.6640625" style="519" customWidth="1"/>
    <col min="13317" max="13317" width="7.88671875" style="519" customWidth="1"/>
    <col min="13318" max="13318" width="19.109375" style="519" bestFit="1" customWidth="1"/>
    <col min="13319" max="13320" width="13.77734375" style="519" customWidth="1"/>
    <col min="13321" max="13321" width="0" style="519" hidden="1" customWidth="1"/>
    <col min="13322" max="13322" width="13.77734375" style="519" customWidth="1"/>
    <col min="13323" max="13323" width="62.44140625" style="519" bestFit="1" customWidth="1"/>
    <col min="13324" max="13324" width="10.6640625" style="519" customWidth="1"/>
    <col min="13325" max="13325" width="20.109375" style="519" customWidth="1"/>
    <col min="13326" max="13326" width="13.88671875" style="519" bestFit="1" customWidth="1"/>
    <col min="13327" max="13327" width="12.6640625" style="519" customWidth="1"/>
    <col min="13328" max="13328" width="12.6640625" style="519" bestFit="1" customWidth="1"/>
    <col min="13329" max="13329" width="14.109375" style="519" bestFit="1" customWidth="1"/>
    <col min="13330" max="13330" width="8.88671875" style="519"/>
    <col min="13331" max="13331" width="15.88671875" style="519" customWidth="1"/>
    <col min="13332" max="13571" width="8.88671875" style="519"/>
    <col min="13572" max="13572" width="8.6640625" style="519" customWidth="1"/>
    <col min="13573" max="13573" width="7.88671875" style="519" customWidth="1"/>
    <col min="13574" max="13574" width="19.109375" style="519" bestFit="1" customWidth="1"/>
    <col min="13575" max="13576" width="13.77734375" style="519" customWidth="1"/>
    <col min="13577" max="13577" width="0" style="519" hidden="1" customWidth="1"/>
    <col min="13578" max="13578" width="13.77734375" style="519" customWidth="1"/>
    <col min="13579" max="13579" width="62.44140625" style="519" bestFit="1" customWidth="1"/>
    <col min="13580" max="13580" width="10.6640625" style="519" customWidth="1"/>
    <col min="13581" max="13581" width="20.109375" style="519" customWidth="1"/>
    <col min="13582" max="13582" width="13.88671875" style="519" bestFit="1" customWidth="1"/>
    <col min="13583" max="13583" width="12.6640625" style="519" customWidth="1"/>
    <col min="13584" max="13584" width="12.6640625" style="519" bestFit="1" customWidth="1"/>
    <col min="13585" max="13585" width="14.109375" style="519" bestFit="1" customWidth="1"/>
    <col min="13586" max="13586" width="8.88671875" style="519"/>
    <col min="13587" max="13587" width="15.88671875" style="519" customWidth="1"/>
    <col min="13588" max="13827" width="8.88671875" style="519"/>
    <col min="13828" max="13828" width="8.6640625" style="519" customWidth="1"/>
    <col min="13829" max="13829" width="7.88671875" style="519" customWidth="1"/>
    <col min="13830" max="13830" width="19.109375" style="519" bestFit="1" customWidth="1"/>
    <col min="13831" max="13832" width="13.77734375" style="519" customWidth="1"/>
    <col min="13833" max="13833" width="0" style="519" hidden="1" customWidth="1"/>
    <col min="13834" max="13834" width="13.77734375" style="519" customWidth="1"/>
    <col min="13835" max="13835" width="62.44140625" style="519" bestFit="1" customWidth="1"/>
    <col min="13836" max="13836" width="10.6640625" style="519" customWidth="1"/>
    <col min="13837" max="13837" width="20.109375" style="519" customWidth="1"/>
    <col min="13838" max="13838" width="13.88671875" style="519" bestFit="1" customWidth="1"/>
    <col min="13839" max="13839" width="12.6640625" style="519" customWidth="1"/>
    <col min="13840" max="13840" width="12.6640625" style="519" bestFit="1" customWidth="1"/>
    <col min="13841" max="13841" width="14.109375" style="519" bestFit="1" customWidth="1"/>
    <col min="13842" max="13842" width="8.88671875" style="519"/>
    <col min="13843" max="13843" width="15.88671875" style="519" customWidth="1"/>
    <col min="13844" max="14083" width="8.88671875" style="519"/>
    <col min="14084" max="14084" width="8.6640625" style="519" customWidth="1"/>
    <col min="14085" max="14085" width="7.88671875" style="519" customWidth="1"/>
    <col min="14086" max="14086" width="19.109375" style="519" bestFit="1" customWidth="1"/>
    <col min="14087" max="14088" width="13.77734375" style="519" customWidth="1"/>
    <col min="14089" max="14089" width="0" style="519" hidden="1" customWidth="1"/>
    <col min="14090" max="14090" width="13.77734375" style="519" customWidth="1"/>
    <col min="14091" max="14091" width="62.44140625" style="519" bestFit="1" customWidth="1"/>
    <col min="14092" max="14092" width="10.6640625" style="519" customWidth="1"/>
    <col min="14093" max="14093" width="20.109375" style="519" customWidth="1"/>
    <col min="14094" max="14094" width="13.88671875" style="519" bestFit="1" customWidth="1"/>
    <col min="14095" max="14095" width="12.6640625" style="519" customWidth="1"/>
    <col min="14096" max="14096" width="12.6640625" style="519" bestFit="1" customWidth="1"/>
    <col min="14097" max="14097" width="14.109375" style="519" bestFit="1" customWidth="1"/>
    <col min="14098" max="14098" width="8.88671875" style="519"/>
    <col min="14099" max="14099" width="15.88671875" style="519" customWidth="1"/>
    <col min="14100" max="14339" width="8.88671875" style="519"/>
    <col min="14340" max="14340" width="8.6640625" style="519" customWidth="1"/>
    <col min="14341" max="14341" width="7.88671875" style="519" customWidth="1"/>
    <col min="14342" max="14342" width="19.109375" style="519" bestFit="1" customWidth="1"/>
    <col min="14343" max="14344" width="13.77734375" style="519" customWidth="1"/>
    <col min="14345" max="14345" width="0" style="519" hidden="1" customWidth="1"/>
    <col min="14346" max="14346" width="13.77734375" style="519" customWidth="1"/>
    <col min="14347" max="14347" width="62.44140625" style="519" bestFit="1" customWidth="1"/>
    <col min="14348" max="14348" width="10.6640625" style="519" customWidth="1"/>
    <col min="14349" max="14349" width="20.109375" style="519" customWidth="1"/>
    <col min="14350" max="14350" width="13.88671875" style="519" bestFit="1" customWidth="1"/>
    <col min="14351" max="14351" width="12.6640625" style="519" customWidth="1"/>
    <col min="14352" max="14352" width="12.6640625" style="519" bestFit="1" customWidth="1"/>
    <col min="14353" max="14353" width="14.109375" style="519" bestFit="1" customWidth="1"/>
    <col min="14354" max="14354" width="8.88671875" style="519"/>
    <col min="14355" max="14355" width="15.88671875" style="519" customWidth="1"/>
    <col min="14356" max="14595" width="8.88671875" style="519"/>
    <col min="14596" max="14596" width="8.6640625" style="519" customWidth="1"/>
    <col min="14597" max="14597" width="7.88671875" style="519" customWidth="1"/>
    <col min="14598" max="14598" width="19.109375" style="519" bestFit="1" customWidth="1"/>
    <col min="14599" max="14600" width="13.77734375" style="519" customWidth="1"/>
    <col min="14601" max="14601" width="0" style="519" hidden="1" customWidth="1"/>
    <col min="14602" max="14602" width="13.77734375" style="519" customWidth="1"/>
    <col min="14603" max="14603" width="62.44140625" style="519" bestFit="1" customWidth="1"/>
    <col min="14604" max="14604" width="10.6640625" style="519" customWidth="1"/>
    <col min="14605" max="14605" width="20.109375" style="519" customWidth="1"/>
    <col min="14606" max="14606" width="13.88671875" style="519" bestFit="1" customWidth="1"/>
    <col min="14607" max="14607" width="12.6640625" style="519" customWidth="1"/>
    <col min="14608" max="14608" width="12.6640625" style="519" bestFit="1" customWidth="1"/>
    <col min="14609" max="14609" width="14.109375" style="519" bestFit="1" customWidth="1"/>
    <col min="14610" max="14610" width="8.88671875" style="519"/>
    <col min="14611" max="14611" width="15.88671875" style="519" customWidth="1"/>
    <col min="14612" max="14851" width="8.88671875" style="519"/>
    <col min="14852" max="14852" width="8.6640625" style="519" customWidth="1"/>
    <col min="14853" max="14853" width="7.88671875" style="519" customWidth="1"/>
    <col min="14854" max="14854" width="19.109375" style="519" bestFit="1" customWidth="1"/>
    <col min="14855" max="14856" width="13.77734375" style="519" customWidth="1"/>
    <col min="14857" max="14857" width="0" style="519" hidden="1" customWidth="1"/>
    <col min="14858" max="14858" width="13.77734375" style="519" customWidth="1"/>
    <col min="14859" max="14859" width="62.44140625" style="519" bestFit="1" customWidth="1"/>
    <col min="14860" max="14860" width="10.6640625" style="519" customWidth="1"/>
    <col min="14861" max="14861" width="20.109375" style="519" customWidth="1"/>
    <col min="14862" max="14862" width="13.88671875" style="519" bestFit="1" customWidth="1"/>
    <col min="14863" max="14863" width="12.6640625" style="519" customWidth="1"/>
    <col min="14864" max="14864" width="12.6640625" style="519" bestFit="1" customWidth="1"/>
    <col min="14865" max="14865" width="14.109375" style="519" bestFit="1" customWidth="1"/>
    <col min="14866" max="14866" width="8.88671875" style="519"/>
    <col min="14867" max="14867" width="15.88671875" style="519" customWidth="1"/>
    <col min="14868" max="15107" width="8.88671875" style="519"/>
    <col min="15108" max="15108" width="8.6640625" style="519" customWidth="1"/>
    <col min="15109" max="15109" width="7.88671875" style="519" customWidth="1"/>
    <col min="15110" max="15110" width="19.109375" style="519" bestFit="1" customWidth="1"/>
    <col min="15111" max="15112" width="13.77734375" style="519" customWidth="1"/>
    <col min="15113" max="15113" width="0" style="519" hidden="1" customWidth="1"/>
    <col min="15114" max="15114" width="13.77734375" style="519" customWidth="1"/>
    <col min="15115" max="15115" width="62.44140625" style="519" bestFit="1" customWidth="1"/>
    <col min="15116" max="15116" width="10.6640625" style="519" customWidth="1"/>
    <col min="15117" max="15117" width="20.109375" style="519" customWidth="1"/>
    <col min="15118" max="15118" width="13.88671875" style="519" bestFit="1" customWidth="1"/>
    <col min="15119" max="15119" width="12.6640625" style="519" customWidth="1"/>
    <col min="15120" max="15120" width="12.6640625" style="519" bestFit="1" customWidth="1"/>
    <col min="15121" max="15121" width="14.109375" style="519" bestFit="1" customWidth="1"/>
    <col min="15122" max="15122" width="8.88671875" style="519"/>
    <col min="15123" max="15123" width="15.88671875" style="519" customWidth="1"/>
    <col min="15124" max="15363" width="8.88671875" style="519"/>
    <col min="15364" max="15364" width="8.6640625" style="519" customWidth="1"/>
    <col min="15365" max="15365" width="7.88671875" style="519" customWidth="1"/>
    <col min="15366" max="15366" width="19.109375" style="519" bestFit="1" customWidth="1"/>
    <col min="15367" max="15368" width="13.77734375" style="519" customWidth="1"/>
    <col min="15369" max="15369" width="0" style="519" hidden="1" customWidth="1"/>
    <col min="15370" max="15370" width="13.77734375" style="519" customWidth="1"/>
    <col min="15371" max="15371" width="62.44140625" style="519" bestFit="1" customWidth="1"/>
    <col min="15372" max="15372" width="10.6640625" style="519" customWidth="1"/>
    <col min="15373" max="15373" width="20.109375" style="519" customWidth="1"/>
    <col min="15374" max="15374" width="13.88671875" style="519" bestFit="1" customWidth="1"/>
    <col min="15375" max="15375" width="12.6640625" style="519" customWidth="1"/>
    <col min="15376" max="15376" width="12.6640625" style="519" bestFit="1" customWidth="1"/>
    <col min="15377" max="15377" width="14.109375" style="519" bestFit="1" customWidth="1"/>
    <col min="15378" max="15378" width="8.88671875" style="519"/>
    <col min="15379" max="15379" width="15.88671875" style="519" customWidth="1"/>
    <col min="15380" max="15619" width="8.88671875" style="519"/>
    <col min="15620" max="15620" width="8.6640625" style="519" customWidth="1"/>
    <col min="15621" max="15621" width="7.88671875" style="519" customWidth="1"/>
    <col min="15622" max="15622" width="19.109375" style="519" bestFit="1" customWidth="1"/>
    <col min="15623" max="15624" width="13.77734375" style="519" customWidth="1"/>
    <col min="15625" max="15625" width="0" style="519" hidden="1" customWidth="1"/>
    <col min="15626" max="15626" width="13.77734375" style="519" customWidth="1"/>
    <col min="15627" max="15627" width="62.44140625" style="519" bestFit="1" customWidth="1"/>
    <col min="15628" max="15628" width="10.6640625" style="519" customWidth="1"/>
    <col min="15629" max="15629" width="20.109375" style="519" customWidth="1"/>
    <col min="15630" max="15630" width="13.88671875" style="519" bestFit="1" customWidth="1"/>
    <col min="15631" max="15631" width="12.6640625" style="519" customWidth="1"/>
    <col min="15632" max="15632" width="12.6640625" style="519" bestFit="1" customWidth="1"/>
    <col min="15633" max="15633" width="14.109375" style="519" bestFit="1" customWidth="1"/>
    <col min="15634" max="15634" width="8.88671875" style="519"/>
    <col min="15635" max="15635" width="15.88671875" style="519" customWidth="1"/>
    <col min="15636" max="15875" width="8.88671875" style="519"/>
    <col min="15876" max="15876" width="8.6640625" style="519" customWidth="1"/>
    <col min="15877" max="15877" width="7.88671875" style="519" customWidth="1"/>
    <col min="15878" max="15878" width="19.109375" style="519" bestFit="1" customWidth="1"/>
    <col min="15879" max="15880" width="13.77734375" style="519" customWidth="1"/>
    <col min="15881" max="15881" width="0" style="519" hidden="1" customWidth="1"/>
    <col min="15882" max="15882" width="13.77734375" style="519" customWidth="1"/>
    <col min="15883" max="15883" width="62.44140625" style="519" bestFit="1" customWidth="1"/>
    <col min="15884" max="15884" width="10.6640625" style="519" customWidth="1"/>
    <col min="15885" max="15885" width="20.109375" style="519" customWidth="1"/>
    <col min="15886" max="15886" width="13.88671875" style="519" bestFit="1" customWidth="1"/>
    <col min="15887" max="15887" width="12.6640625" style="519" customWidth="1"/>
    <col min="15888" max="15888" width="12.6640625" style="519" bestFit="1" customWidth="1"/>
    <col min="15889" max="15889" width="14.109375" style="519" bestFit="1" customWidth="1"/>
    <col min="15890" max="15890" width="8.88671875" style="519"/>
    <col min="15891" max="15891" width="15.88671875" style="519" customWidth="1"/>
    <col min="15892" max="16131" width="8.88671875" style="519"/>
    <col min="16132" max="16132" width="8.6640625" style="519" customWidth="1"/>
    <col min="16133" max="16133" width="7.88671875" style="519" customWidth="1"/>
    <col min="16134" max="16134" width="19.109375" style="519" bestFit="1" customWidth="1"/>
    <col min="16135" max="16136" width="13.77734375" style="519" customWidth="1"/>
    <col min="16137" max="16137" width="0" style="519" hidden="1" customWidth="1"/>
    <col min="16138" max="16138" width="13.77734375" style="519" customWidth="1"/>
    <col min="16139" max="16139" width="62.44140625" style="519" bestFit="1" customWidth="1"/>
    <col min="16140" max="16140" width="10.6640625" style="519" customWidth="1"/>
    <col min="16141" max="16141" width="20.109375" style="519" customWidth="1"/>
    <col min="16142" max="16142" width="13.88671875" style="519" bestFit="1" customWidth="1"/>
    <col min="16143" max="16143" width="12.6640625" style="519" customWidth="1"/>
    <col min="16144" max="16144" width="12.6640625" style="519" bestFit="1" customWidth="1"/>
    <col min="16145" max="16145" width="14.109375" style="519" bestFit="1" customWidth="1"/>
    <col min="16146" max="16146" width="8.88671875" style="519"/>
    <col min="16147" max="16147" width="15.88671875" style="519" customWidth="1"/>
    <col min="16148" max="16384" width="8.88671875" style="519"/>
  </cols>
  <sheetData>
    <row r="1" spans="1:16" ht="30.75" customHeight="1">
      <c r="A1" s="1552" t="s">
        <v>722</v>
      </c>
      <c r="B1" s="1552"/>
      <c r="C1" s="1552"/>
      <c r="D1" s="1552"/>
      <c r="E1" s="1552"/>
      <c r="F1" s="1552"/>
      <c r="G1" s="1552"/>
      <c r="H1" s="1552"/>
      <c r="I1" s="1552"/>
      <c r="J1" s="1552"/>
      <c r="K1" s="1552"/>
      <c r="L1" s="1552"/>
      <c r="M1" s="1552"/>
      <c r="N1" s="1552"/>
    </row>
    <row r="2" spans="1:16" ht="19.5" customHeight="1" thickBot="1">
      <c r="A2" s="794" t="s">
        <v>254</v>
      </c>
      <c r="B2" s="794"/>
      <c r="C2" s="794"/>
      <c r="D2" s="794"/>
      <c r="E2" s="794"/>
      <c r="F2" s="794"/>
      <c r="G2" s="794"/>
      <c r="H2" s="794"/>
      <c r="I2" s="893"/>
      <c r="J2" s="794"/>
      <c r="K2" s="794"/>
      <c r="L2" s="794"/>
      <c r="M2" s="794"/>
      <c r="N2" s="794"/>
    </row>
    <row r="3" spans="1:16" ht="19.5" thickBot="1">
      <c r="A3" s="754" t="s">
        <v>31</v>
      </c>
      <c r="B3" s="754"/>
      <c r="C3" s="754"/>
      <c r="D3" s="1553" t="s">
        <v>255</v>
      </c>
      <c r="E3" s="1553" t="s">
        <v>256</v>
      </c>
      <c r="F3" s="1553" t="s">
        <v>257</v>
      </c>
      <c r="G3" s="1553" t="s">
        <v>691</v>
      </c>
      <c r="H3" s="795" t="s">
        <v>32</v>
      </c>
      <c r="I3" s="892"/>
      <c r="J3" s="796"/>
      <c r="K3" s="796"/>
      <c r="L3" s="796"/>
      <c r="M3" s="797"/>
      <c r="N3" s="798" t="s">
        <v>37</v>
      </c>
    </row>
    <row r="4" spans="1:16" ht="19.5" thickBot="1">
      <c r="A4" s="763" t="s">
        <v>38</v>
      </c>
      <c r="B4" s="763" t="s">
        <v>39</v>
      </c>
      <c r="C4" s="764" t="s">
        <v>40</v>
      </c>
      <c r="D4" s="1554"/>
      <c r="E4" s="1554"/>
      <c r="F4" s="1554"/>
      <c r="G4" s="1554"/>
      <c r="H4" s="799"/>
      <c r="I4" s="893"/>
      <c r="J4" s="794"/>
      <c r="K4" s="794"/>
      <c r="L4" s="794"/>
      <c r="M4" s="800"/>
      <c r="N4" s="801"/>
    </row>
    <row r="5" spans="1:16" ht="19.5" thickBot="1">
      <c r="A5" s="617" t="s">
        <v>41</v>
      </c>
      <c r="B5" s="618"/>
      <c r="C5" s="802"/>
      <c r="D5" s="766">
        <f>D10+D205+D210+D218+D6+D225</f>
        <v>2263747735</v>
      </c>
      <c r="E5" s="570">
        <v>2221710128</v>
      </c>
      <c r="F5" s="766">
        <f>F6+F10+F205+F210+F218+F225</f>
        <v>2107383054</v>
      </c>
      <c r="G5" s="571">
        <f>F5-E5</f>
        <v>-114327074</v>
      </c>
      <c r="H5" s="567"/>
      <c r="I5" s="569"/>
      <c r="J5" s="568"/>
      <c r="K5" s="568"/>
      <c r="L5" s="568"/>
      <c r="M5" s="568"/>
      <c r="N5" s="570">
        <f>N6+N10+N205+N210+N218+N225</f>
        <v>2107383054</v>
      </c>
    </row>
    <row r="6" spans="1:16" ht="19.5" thickBot="1">
      <c r="A6" s="803" t="s">
        <v>137</v>
      </c>
      <c r="B6" s="571"/>
      <c r="C6" s="676"/>
      <c r="D6" s="767">
        <v>10500000</v>
      </c>
      <c r="E6" s="767">
        <v>10000000</v>
      </c>
      <c r="F6" s="767">
        <f>F7</f>
        <v>20000000</v>
      </c>
      <c r="G6" s="571">
        <f t="shared" ref="G6:G7" si="0">F6-E6</f>
        <v>10000000</v>
      </c>
      <c r="H6" s="804"/>
      <c r="I6" s="805"/>
      <c r="J6" s="805"/>
      <c r="K6" s="805"/>
      <c r="L6" s="805"/>
      <c r="M6" s="805"/>
      <c r="N6" s="571">
        <f>N7</f>
        <v>20000000</v>
      </c>
    </row>
    <row r="7" spans="1:16" ht="19.5" thickBot="1">
      <c r="A7" s="806"/>
      <c r="B7" s="769" t="s">
        <v>137</v>
      </c>
      <c r="C7" s="769"/>
      <c r="D7" s="807">
        <v>10500000</v>
      </c>
      <c r="E7" s="807">
        <v>10000000</v>
      </c>
      <c r="F7" s="807">
        <f>F8+F9</f>
        <v>20000000</v>
      </c>
      <c r="G7" s="571">
        <f t="shared" si="0"/>
        <v>10000000</v>
      </c>
      <c r="H7" s="808"/>
      <c r="I7" s="809"/>
      <c r="J7" s="809"/>
      <c r="K7" s="809"/>
      <c r="L7" s="809"/>
      <c r="M7" s="809"/>
      <c r="N7" s="769">
        <f>N8+N9</f>
        <v>20000000</v>
      </c>
    </row>
    <row r="8" spans="1:16">
      <c r="A8" s="775"/>
      <c r="B8" s="768"/>
      <c r="C8" s="571" t="s">
        <v>138</v>
      </c>
      <c r="D8" s="767">
        <v>10000000</v>
      </c>
      <c r="E8" s="767">
        <v>10000000</v>
      </c>
      <c r="F8" s="571">
        <f t="shared" ref="F8" si="1">N8</f>
        <v>20000000</v>
      </c>
      <c r="G8" s="571">
        <f t="shared" ref="G8" si="2">E8-D8</f>
        <v>0</v>
      </c>
      <c r="H8" s="1010" t="s">
        <v>626</v>
      </c>
      <c r="I8" s="805"/>
      <c r="J8" s="1011"/>
      <c r="K8" s="1011"/>
      <c r="L8" s="1011"/>
      <c r="M8" s="1011"/>
      <c r="N8" s="964">
        <v>20000000</v>
      </c>
    </row>
    <row r="9" spans="1:16" ht="19.5" thickBot="1">
      <c r="A9" s="775"/>
      <c r="B9" s="774"/>
      <c r="C9" s="774" t="s">
        <v>139</v>
      </c>
      <c r="D9" s="765">
        <v>500000</v>
      </c>
      <c r="E9" s="765">
        <v>0</v>
      </c>
      <c r="F9" s="774">
        <f>N9</f>
        <v>0</v>
      </c>
      <c r="G9" s="810">
        <f t="shared" ref="G9:G12" si="3">F9-E9</f>
        <v>0</v>
      </c>
      <c r="H9" s="787" t="s">
        <v>625</v>
      </c>
      <c r="I9" s="963"/>
      <c r="J9" s="963"/>
      <c r="K9" s="963"/>
      <c r="L9" s="963"/>
      <c r="M9" s="963"/>
      <c r="N9" s="784">
        <v>0</v>
      </c>
    </row>
    <row r="10" spans="1:16" ht="19.5" thickBot="1">
      <c r="A10" s="571" t="s">
        <v>33</v>
      </c>
      <c r="B10" s="571"/>
      <c r="C10" s="571" t="s">
        <v>42</v>
      </c>
      <c r="D10" s="767">
        <v>2063479930</v>
      </c>
      <c r="E10" s="767">
        <v>2019911174</v>
      </c>
      <c r="F10" s="767">
        <f>F11</f>
        <v>1894289930</v>
      </c>
      <c r="G10" s="571">
        <f t="shared" si="3"/>
        <v>-125621244</v>
      </c>
      <c r="H10" s="811"/>
      <c r="I10" s="914"/>
      <c r="J10" s="812"/>
      <c r="K10" s="812"/>
      <c r="L10" s="812"/>
      <c r="M10" s="812"/>
      <c r="N10" s="813">
        <f>N11</f>
        <v>1894289930</v>
      </c>
    </row>
    <row r="11" spans="1:16" ht="19.5" thickBot="1">
      <c r="A11" s="768"/>
      <c r="B11" s="769" t="s">
        <v>33</v>
      </c>
      <c r="C11" s="575"/>
      <c r="D11" s="770">
        <v>2063479930</v>
      </c>
      <c r="E11" s="767">
        <v>2019911174</v>
      </c>
      <c r="F11" s="770">
        <f>F12+F42+F153+F159+F164+F175+F136+F183</f>
        <v>1894289930</v>
      </c>
      <c r="G11" s="571">
        <f t="shared" si="3"/>
        <v>-125621244</v>
      </c>
      <c r="H11" s="572"/>
      <c r="I11" s="574"/>
      <c r="J11" s="573"/>
      <c r="K11" s="573"/>
      <c r="L11" s="573"/>
      <c r="M11" s="573"/>
      <c r="N11" s="814">
        <f>N13+N42+N153+N159+N164+N173+N175+N183+N136</f>
        <v>1894289930</v>
      </c>
    </row>
    <row r="12" spans="1:16" ht="19.5" thickBot="1">
      <c r="A12" s="768"/>
      <c r="B12" s="768"/>
      <c r="C12" s="570" t="s">
        <v>44</v>
      </c>
      <c r="D12" s="578">
        <v>692547780</v>
      </c>
      <c r="E12" s="578">
        <v>722384254</v>
      </c>
      <c r="F12" s="766">
        <f>N13</f>
        <v>562150970</v>
      </c>
      <c r="G12" s="571">
        <f t="shared" si="3"/>
        <v>-160233284</v>
      </c>
      <c r="H12" s="579" t="s">
        <v>44</v>
      </c>
      <c r="I12" s="580"/>
      <c r="J12" s="579"/>
      <c r="K12" s="579"/>
      <c r="L12" s="579"/>
      <c r="M12" s="727"/>
      <c r="N12" s="577">
        <f>N13+N42</f>
        <v>710745020</v>
      </c>
      <c r="P12" s="1026"/>
    </row>
    <row r="13" spans="1:16" ht="19.5" thickBot="1">
      <c r="A13" s="768"/>
      <c r="B13" s="768"/>
      <c r="C13" s="771"/>
      <c r="D13" s="772"/>
      <c r="E13" s="773"/>
      <c r="F13" s="664"/>
      <c r="G13" s="772"/>
      <c r="H13" s="578" t="s">
        <v>3</v>
      </c>
      <c r="I13" s="580"/>
      <c r="J13" s="579"/>
      <c r="K13" s="579"/>
      <c r="L13" s="579"/>
      <c r="M13" s="727"/>
      <c r="N13" s="582">
        <f>SUM(N14:N41)</f>
        <v>562150970</v>
      </c>
    </row>
    <row r="14" spans="1:16" ht="24.95" customHeight="1">
      <c r="A14" s="768"/>
      <c r="B14" s="768"/>
      <c r="C14" s="771"/>
      <c r="D14" s="772"/>
      <c r="E14" s="768"/>
      <c r="F14" s="771"/>
      <c r="G14" s="772"/>
      <c r="H14" s="1547" t="s">
        <v>534</v>
      </c>
      <c r="I14" s="591">
        <v>5374000</v>
      </c>
      <c r="J14" s="590">
        <v>10</v>
      </c>
      <c r="K14" s="591" t="s">
        <v>453</v>
      </c>
      <c r="L14" s="591"/>
      <c r="M14" s="1550" t="s">
        <v>33</v>
      </c>
      <c r="N14" s="586">
        <f>I14*J14</f>
        <v>53740000</v>
      </c>
    </row>
    <row r="15" spans="1:16" ht="24.95" customHeight="1">
      <c r="A15" s="768"/>
      <c r="B15" s="768"/>
      <c r="C15" s="771"/>
      <c r="D15" s="772"/>
      <c r="E15" s="768"/>
      <c r="F15" s="771"/>
      <c r="G15" s="772"/>
      <c r="H15" s="1539"/>
      <c r="I15" s="588">
        <v>5429000</v>
      </c>
      <c r="J15" s="587">
        <v>2</v>
      </c>
      <c r="K15" s="588" t="s">
        <v>453</v>
      </c>
      <c r="L15" s="588"/>
      <c r="M15" s="1541"/>
      <c r="N15" s="589">
        <f t="shared" ref="N15:N41" si="4">I15*J15</f>
        <v>10858000</v>
      </c>
    </row>
    <row r="16" spans="1:16" ht="24.95" customHeight="1">
      <c r="A16" s="768"/>
      <c r="B16" s="768"/>
      <c r="C16" s="771"/>
      <c r="D16" s="772"/>
      <c r="E16" s="768"/>
      <c r="F16" s="771"/>
      <c r="G16" s="772"/>
      <c r="H16" s="1547" t="s">
        <v>532</v>
      </c>
      <c r="I16" s="591">
        <v>3499000</v>
      </c>
      <c r="J16" s="590">
        <v>3</v>
      </c>
      <c r="K16" s="591" t="s">
        <v>453</v>
      </c>
      <c r="L16" s="591"/>
      <c r="M16" s="1550" t="s">
        <v>33</v>
      </c>
      <c r="N16" s="592">
        <f t="shared" si="4"/>
        <v>10497000</v>
      </c>
    </row>
    <row r="17" spans="1:14" ht="24.95" customHeight="1">
      <c r="A17" s="768"/>
      <c r="B17" s="768"/>
      <c r="C17" s="771"/>
      <c r="D17" s="772"/>
      <c r="E17" s="768"/>
      <c r="F17" s="771"/>
      <c r="G17" s="772"/>
      <c r="H17" s="1549"/>
      <c r="I17" s="595">
        <v>3550000</v>
      </c>
      <c r="J17" s="594">
        <v>9</v>
      </c>
      <c r="K17" s="595" t="s">
        <v>453</v>
      </c>
      <c r="L17" s="595"/>
      <c r="M17" s="1551"/>
      <c r="N17" s="596">
        <f t="shared" si="4"/>
        <v>31950000</v>
      </c>
    </row>
    <row r="18" spans="1:14" ht="24.95" customHeight="1">
      <c r="A18" s="768"/>
      <c r="B18" s="768"/>
      <c r="C18" s="771"/>
      <c r="D18" s="772"/>
      <c r="E18" s="768"/>
      <c r="F18" s="771"/>
      <c r="G18" s="772"/>
      <c r="H18" s="1547" t="s">
        <v>530</v>
      </c>
      <c r="I18" s="585">
        <v>4126000</v>
      </c>
      <c r="J18" s="584">
        <v>6</v>
      </c>
      <c r="K18" s="585" t="s">
        <v>453</v>
      </c>
      <c r="L18" s="585"/>
      <c r="M18" s="1540" t="s">
        <v>33</v>
      </c>
      <c r="N18" s="597">
        <f t="shared" si="4"/>
        <v>24756000</v>
      </c>
    </row>
    <row r="19" spans="1:14" ht="24.95" customHeight="1">
      <c r="A19" s="768"/>
      <c r="B19" s="768"/>
      <c r="C19" s="771"/>
      <c r="D19" s="772"/>
      <c r="E19" s="768"/>
      <c r="F19" s="771"/>
      <c r="G19" s="772"/>
      <c r="H19" s="1549"/>
      <c r="I19" s="588">
        <v>4178000</v>
      </c>
      <c r="J19" s="587">
        <v>6</v>
      </c>
      <c r="K19" s="588" t="s">
        <v>453</v>
      </c>
      <c r="L19" s="588"/>
      <c r="M19" s="1541"/>
      <c r="N19" s="589">
        <f t="shared" si="4"/>
        <v>25068000</v>
      </c>
    </row>
    <row r="20" spans="1:14" ht="24.95" customHeight="1">
      <c r="A20" s="768"/>
      <c r="B20" s="768"/>
      <c r="C20" s="771"/>
      <c r="D20" s="772"/>
      <c r="E20" s="768"/>
      <c r="F20" s="771"/>
      <c r="G20" s="772"/>
      <c r="H20" s="1547" t="s">
        <v>530</v>
      </c>
      <c r="I20" s="591">
        <v>3890000</v>
      </c>
      <c r="J20" s="590">
        <v>8</v>
      </c>
      <c r="K20" s="591" t="s">
        <v>453</v>
      </c>
      <c r="L20" s="591"/>
      <c r="M20" s="1550" t="s">
        <v>33</v>
      </c>
      <c r="N20" s="592">
        <f t="shared" si="4"/>
        <v>31120000</v>
      </c>
    </row>
    <row r="21" spans="1:14" ht="24.95" customHeight="1">
      <c r="A21" s="768"/>
      <c r="B21" s="768"/>
      <c r="C21" s="771"/>
      <c r="D21" s="772"/>
      <c r="E21" s="768"/>
      <c r="F21" s="771"/>
      <c r="G21" s="772"/>
      <c r="H21" s="1549"/>
      <c r="I21" s="595">
        <v>3951000</v>
      </c>
      <c r="J21" s="594">
        <v>4</v>
      </c>
      <c r="K21" s="595" t="s">
        <v>453</v>
      </c>
      <c r="L21" s="595"/>
      <c r="M21" s="1551"/>
      <c r="N21" s="596">
        <f t="shared" si="4"/>
        <v>15804000</v>
      </c>
    </row>
    <row r="22" spans="1:14" ht="24.95" customHeight="1">
      <c r="A22" s="768"/>
      <c r="B22" s="768"/>
      <c r="C22" s="771"/>
      <c r="D22" s="772"/>
      <c r="E22" s="768"/>
      <c r="F22" s="771"/>
      <c r="G22" s="772"/>
      <c r="H22" s="1547" t="s">
        <v>530</v>
      </c>
      <c r="I22" s="585">
        <v>4013000</v>
      </c>
      <c r="J22" s="584">
        <v>11</v>
      </c>
      <c r="K22" s="585" t="s">
        <v>453</v>
      </c>
      <c r="L22" s="585"/>
      <c r="M22" s="1540" t="s">
        <v>33</v>
      </c>
      <c r="N22" s="597">
        <f t="shared" si="4"/>
        <v>44143000</v>
      </c>
    </row>
    <row r="23" spans="1:14" ht="24" customHeight="1">
      <c r="A23" s="768"/>
      <c r="B23" s="768"/>
      <c r="C23" s="771"/>
      <c r="D23" s="772"/>
      <c r="E23" s="768"/>
      <c r="F23" s="771"/>
      <c r="G23" s="772"/>
      <c r="H23" s="1549"/>
      <c r="I23" s="588">
        <v>4070000</v>
      </c>
      <c r="J23" s="587">
        <v>1</v>
      </c>
      <c r="K23" s="588" t="s">
        <v>453</v>
      </c>
      <c r="L23" s="588"/>
      <c r="M23" s="1541"/>
      <c r="N23" s="589">
        <f t="shared" si="4"/>
        <v>4070000</v>
      </c>
    </row>
    <row r="24" spans="1:14" ht="24.95" customHeight="1">
      <c r="A24" s="768"/>
      <c r="B24" s="768"/>
      <c r="C24" s="771"/>
      <c r="D24" s="772"/>
      <c r="E24" s="768"/>
      <c r="F24" s="771"/>
      <c r="G24" s="772"/>
      <c r="H24" s="967" t="s">
        <v>536</v>
      </c>
      <c r="I24" s="968">
        <v>2821000</v>
      </c>
      <c r="J24" s="975">
        <v>4</v>
      </c>
      <c r="K24" s="968" t="s">
        <v>453</v>
      </c>
      <c r="L24" s="968" t="s">
        <v>696</v>
      </c>
      <c r="M24" s="978" t="s">
        <v>33</v>
      </c>
      <c r="N24" s="977">
        <f t="shared" si="4"/>
        <v>11284000</v>
      </c>
    </row>
    <row r="25" spans="1:14" ht="24.95" customHeight="1">
      <c r="A25" s="768"/>
      <c r="B25" s="768"/>
      <c r="C25" s="771"/>
      <c r="D25" s="772"/>
      <c r="E25" s="768"/>
      <c r="F25" s="771"/>
      <c r="G25" s="772"/>
      <c r="H25" s="1538" t="s">
        <v>535</v>
      </c>
      <c r="I25" s="585">
        <v>2879000</v>
      </c>
      <c r="J25" s="584">
        <v>4</v>
      </c>
      <c r="K25" s="585" t="s">
        <v>453</v>
      </c>
      <c r="L25" s="585"/>
      <c r="M25" s="1540" t="s">
        <v>33</v>
      </c>
      <c r="N25" s="597">
        <f t="shared" si="4"/>
        <v>11516000</v>
      </c>
    </row>
    <row r="26" spans="1:14" ht="24" customHeight="1">
      <c r="A26" s="768"/>
      <c r="B26" s="768"/>
      <c r="C26" s="771"/>
      <c r="D26" s="772"/>
      <c r="E26" s="768"/>
      <c r="F26" s="771"/>
      <c r="G26" s="772"/>
      <c r="H26" s="1539"/>
      <c r="I26" s="588">
        <v>2953000</v>
      </c>
      <c r="J26" s="587">
        <v>8</v>
      </c>
      <c r="K26" s="588" t="s">
        <v>453</v>
      </c>
      <c r="L26" s="588"/>
      <c r="M26" s="1541"/>
      <c r="N26" s="589">
        <f t="shared" si="4"/>
        <v>23624000</v>
      </c>
    </row>
    <row r="27" spans="1:14" ht="25.5" customHeight="1">
      <c r="A27" s="768"/>
      <c r="B27" s="768"/>
      <c r="C27" s="771"/>
      <c r="D27" s="772"/>
      <c r="E27" s="768"/>
      <c r="F27" s="771"/>
      <c r="G27" s="772"/>
      <c r="H27" s="1547" t="s">
        <v>535</v>
      </c>
      <c r="I27" s="591">
        <v>2494000</v>
      </c>
      <c r="J27" s="590">
        <v>11</v>
      </c>
      <c r="K27" s="591" t="s">
        <v>453</v>
      </c>
      <c r="L27" s="591"/>
      <c r="M27" s="1550" t="s">
        <v>33</v>
      </c>
      <c r="N27" s="592">
        <f t="shared" si="4"/>
        <v>27434000</v>
      </c>
    </row>
    <row r="28" spans="1:14" ht="25.5" customHeight="1">
      <c r="A28" s="768"/>
      <c r="B28" s="768"/>
      <c r="C28" s="771"/>
      <c r="D28" s="772"/>
      <c r="E28" s="768"/>
      <c r="F28" s="771"/>
      <c r="G28" s="772"/>
      <c r="H28" s="1549"/>
      <c r="I28" s="595">
        <v>2573000</v>
      </c>
      <c r="J28" s="594">
        <v>1</v>
      </c>
      <c r="K28" s="595" t="s">
        <v>453</v>
      </c>
      <c r="L28" s="595"/>
      <c r="M28" s="1551"/>
      <c r="N28" s="596">
        <f t="shared" si="4"/>
        <v>2573000</v>
      </c>
    </row>
    <row r="29" spans="1:14" ht="24.95" customHeight="1">
      <c r="A29" s="768"/>
      <c r="B29" s="768"/>
      <c r="C29" s="771"/>
      <c r="D29" s="772"/>
      <c r="E29" s="768"/>
      <c r="F29" s="771"/>
      <c r="G29" s="772"/>
      <c r="H29" s="1547" t="s">
        <v>536</v>
      </c>
      <c r="I29" s="591">
        <v>2953000</v>
      </c>
      <c r="J29" s="590">
        <v>10</v>
      </c>
      <c r="K29" s="591" t="s">
        <v>453</v>
      </c>
      <c r="L29" s="591"/>
      <c r="M29" s="1550" t="s">
        <v>33</v>
      </c>
      <c r="N29" s="592">
        <f t="shared" si="4"/>
        <v>29530000</v>
      </c>
    </row>
    <row r="30" spans="1:14" ht="24.95" customHeight="1">
      <c r="A30" s="768"/>
      <c r="B30" s="768"/>
      <c r="C30" s="771"/>
      <c r="D30" s="772"/>
      <c r="E30" s="768"/>
      <c r="F30" s="771"/>
      <c r="G30" s="772"/>
      <c r="H30" s="1549"/>
      <c r="I30" s="595">
        <v>3028000</v>
      </c>
      <c r="J30" s="594">
        <v>2</v>
      </c>
      <c r="K30" s="595" t="s">
        <v>453</v>
      </c>
      <c r="L30" s="595"/>
      <c r="M30" s="1551"/>
      <c r="N30" s="596">
        <f t="shared" si="4"/>
        <v>6056000</v>
      </c>
    </row>
    <row r="31" spans="1:14" ht="24.95" customHeight="1">
      <c r="A31" s="768"/>
      <c r="B31" s="768"/>
      <c r="C31" s="771"/>
      <c r="D31" s="772"/>
      <c r="E31" s="768"/>
      <c r="F31" s="771"/>
      <c r="G31" s="772"/>
      <c r="H31" s="653" t="s">
        <v>536</v>
      </c>
      <c r="I31" s="605">
        <v>2394000</v>
      </c>
      <c r="J31" s="654">
        <v>6</v>
      </c>
      <c r="K31" s="595" t="s">
        <v>453</v>
      </c>
      <c r="L31" s="605" t="s">
        <v>700</v>
      </c>
      <c r="M31" s="606" t="s">
        <v>33</v>
      </c>
      <c r="N31" s="607">
        <f t="shared" si="4"/>
        <v>14364000</v>
      </c>
    </row>
    <row r="32" spans="1:14" ht="24.95" customHeight="1">
      <c r="A32" s="768"/>
      <c r="B32" s="768"/>
      <c r="C32" s="771"/>
      <c r="D32" s="772"/>
      <c r="E32" s="768"/>
      <c r="F32" s="771"/>
      <c r="G32" s="772"/>
      <c r="H32" s="1547" t="s">
        <v>537</v>
      </c>
      <c r="I32" s="591">
        <v>1285970</v>
      </c>
      <c r="J32" s="590">
        <v>1</v>
      </c>
      <c r="K32" s="591" t="s">
        <v>453</v>
      </c>
      <c r="L32" s="591"/>
      <c r="M32" s="1550" t="s">
        <v>33</v>
      </c>
      <c r="N32" s="592">
        <f t="shared" si="4"/>
        <v>1285970</v>
      </c>
    </row>
    <row r="33" spans="1:14" ht="24.95" customHeight="1">
      <c r="A33" s="768"/>
      <c r="B33" s="768"/>
      <c r="C33" s="771"/>
      <c r="D33" s="772"/>
      <c r="E33" s="768"/>
      <c r="F33" s="771"/>
      <c r="G33" s="772"/>
      <c r="H33" s="1548"/>
      <c r="I33" s="605">
        <v>2345000</v>
      </c>
      <c r="J33" s="654">
        <v>3</v>
      </c>
      <c r="K33" s="605" t="s">
        <v>650</v>
      </c>
      <c r="L33" s="605"/>
      <c r="M33" s="1555"/>
      <c r="N33" s="607">
        <f>I33*J33</f>
        <v>7035000</v>
      </c>
    </row>
    <row r="34" spans="1:14" ht="24.95" customHeight="1">
      <c r="A34" s="768"/>
      <c r="B34" s="768"/>
      <c r="C34" s="771"/>
      <c r="D34" s="772"/>
      <c r="E34" s="768"/>
      <c r="F34" s="771"/>
      <c r="G34" s="772"/>
      <c r="H34" s="1549"/>
      <c r="I34" s="595">
        <v>2370000</v>
      </c>
      <c r="J34" s="594">
        <v>8</v>
      </c>
      <c r="K34" s="595" t="s">
        <v>453</v>
      </c>
      <c r="L34" s="595"/>
      <c r="M34" s="1551"/>
      <c r="N34" s="596">
        <f t="shared" si="4"/>
        <v>18960000</v>
      </c>
    </row>
    <row r="35" spans="1:14" ht="24.95" customHeight="1">
      <c r="A35" s="768"/>
      <c r="B35" s="768"/>
      <c r="C35" s="771"/>
      <c r="D35" s="772"/>
      <c r="E35" s="768"/>
      <c r="F35" s="771"/>
      <c r="G35" s="772"/>
      <c r="H35" s="603" t="s">
        <v>539</v>
      </c>
      <c r="I35" s="605">
        <v>3078000</v>
      </c>
      <c r="J35" s="604">
        <v>12</v>
      </c>
      <c r="K35" s="605" t="s">
        <v>453</v>
      </c>
      <c r="L35" s="605"/>
      <c r="M35" s="606" t="s">
        <v>33</v>
      </c>
      <c r="N35" s="607">
        <f t="shared" si="4"/>
        <v>36936000</v>
      </c>
    </row>
    <row r="36" spans="1:14" ht="24.95" customHeight="1">
      <c r="A36" s="768"/>
      <c r="B36" s="768"/>
      <c r="C36" s="771"/>
      <c r="D36" s="772"/>
      <c r="E36" s="768"/>
      <c r="F36" s="771"/>
      <c r="G36" s="772"/>
      <c r="H36" s="1547" t="s">
        <v>541</v>
      </c>
      <c r="I36" s="591">
        <v>2811000</v>
      </c>
      <c r="J36" s="590">
        <v>5</v>
      </c>
      <c r="K36" s="591" t="s">
        <v>453</v>
      </c>
      <c r="L36" s="591"/>
      <c r="M36" s="1550" t="s">
        <v>33</v>
      </c>
      <c r="N36" s="592">
        <f t="shared" si="4"/>
        <v>14055000</v>
      </c>
    </row>
    <row r="37" spans="1:14" ht="24.95" customHeight="1">
      <c r="A37" s="768"/>
      <c r="B37" s="768"/>
      <c r="C37" s="771"/>
      <c r="D37" s="772"/>
      <c r="E37" s="768"/>
      <c r="F37" s="771"/>
      <c r="G37" s="772"/>
      <c r="H37" s="1549"/>
      <c r="I37" s="595">
        <v>2864000</v>
      </c>
      <c r="J37" s="594">
        <v>7</v>
      </c>
      <c r="K37" s="595" t="s">
        <v>453</v>
      </c>
      <c r="L37" s="595"/>
      <c r="M37" s="1551"/>
      <c r="N37" s="596">
        <f t="shared" si="4"/>
        <v>20048000</v>
      </c>
    </row>
    <row r="38" spans="1:14" ht="24.95" customHeight="1">
      <c r="A38" s="768"/>
      <c r="B38" s="768"/>
      <c r="C38" s="771"/>
      <c r="D38" s="772"/>
      <c r="E38" s="768"/>
      <c r="F38" s="771"/>
      <c r="G38" s="772"/>
      <c r="H38" s="1532" t="s">
        <v>542</v>
      </c>
      <c r="I38" s="585">
        <v>2346000</v>
      </c>
      <c r="J38" s="584">
        <v>8</v>
      </c>
      <c r="K38" s="585" t="s">
        <v>453</v>
      </c>
      <c r="L38" s="585"/>
      <c r="M38" s="1556" t="s">
        <v>33</v>
      </c>
      <c r="N38" s="597">
        <f t="shared" si="4"/>
        <v>18768000</v>
      </c>
    </row>
    <row r="39" spans="1:14" ht="24.95" customHeight="1">
      <c r="A39" s="768"/>
      <c r="B39" s="768"/>
      <c r="C39" s="771"/>
      <c r="D39" s="772"/>
      <c r="E39" s="768"/>
      <c r="F39" s="771"/>
      <c r="G39" s="772"/>
      <c r="H39" s="1533"/>
      <c r="I39" s="588">
        <v>2371000</v>
      </c>
      <c r="J39" s="587">
        <v>4</v>
      </c>
      <c r="K39" s="588" t="s">
        <v>453</v>
      </c>
      <c r="L39" s="588"/>
      <c r="M39" s="1557"/>
      <c r="N39" s="589">
        <f t="shared" si="4"/>
        <v>9484000</v>
      </c>
    </row>
    <row r="40" spans="1:14" ht="24.95" customHeight="1">
      <c r="A40" s="768"/>
      <c r="B40" s="768"/>
      <c r="C40" s="771"/>
      <c r="D40" s="772"/>
      <c r="E40" s="768"/>
      <c r="F40" s="771"/>
      <c r="G40" s="772"/>
      <c r="H40" s="608" t="s">
        <v>542</v>
      </c>
      <c r="I40" s="600">
        <v>2346000</v>
      </c>
      <c r="J40" s="599">
        <v>12</v>
      </c>
      <c r="K40" s="600" t="s">
        <v>453</v>
      </c>
      <c r="L40" s="600"/>
      <c r="M40" s="601" t="s">
        <v>33</v>
      </c>
      <c r="N40" s="602">
        <f t="shared" si="4"/>
        <v>28152000</v>
      </c>
    </row>
    <row r="41" spans="1:14" ht="24.95" customHeight="1" thickBot="1">
      <c r="A41" s="768"/>
      <c r="B41" s="768"/>
      <c r="C41" s="771"/>
      <c r="D41" s="772"/>
      <c r="E41" s="774"/>
      <c r="F41" s="771"/>
      <c r="G41" s="772"/>
      <c r="H41" s="609" t="s">
        <v>544</v>
      </c>
      <c r="I41" s="611">
        <v>2420000</v>
      </c>
      <c r="J41" s="610">
        <v>12</v>
      </c>
      <c r="K41" s="611" t="s">
        <v>453</v>
      </c>
      <c r="L41" s="611"/>
      <c r="M41" s="612" t="s">
        <v>33</v>
      </c>
      <c r="N41" s="613">
        <f t="shared" si="4"/>
        <v>29040000</v>
      </c>
    </row>
    <row r="42" spans="1:14" ht="19.5" thickBot="1">
      <c r="A42" s="768"/>
      <c r="B42" s="768"/>
      <c r="C42" s="570" t="s">
        <v>160</v>
      </c>
      <c r="D42" s="766">
        <f>D43+D61+D88+D107+D131+D133</f>
        <v>144888780</v>
      </c>
      <c r="E42" s="570">
        <v>152029286</v>
      </c>
      <c r="F42" s="570">
        <f t="shared" ref="F42:F43" si="5">N42</f>
        <v>148594050</v>
      </c>
      <c r="G42" s="571">
        <f t="shared" ref="G42:G43" si="6">F42-E42</f>
        <v>-3435236</v>
      </c>
      <c r="H42" s="614" t="s">
        <v>160</v>
      </c>
      <c r="I42" s="720"/>
      <c r="J42" s="615"/>
      <c r="K42" s="615"/>
      <c r="L42" s="615"/>
      <c r="M42" s="616"/>
      <c r="N42" s="616">
        <f>N43+N61+N88+N107+N131+N133</f>
        <v>148594050</v>
      </c>
    </row>
    <row r="43" spans="1:14" ht="19.5" thickBot="1">
      <c r="A43" s="768"/>
      <c r="B43" s="768"/>
      <c r="C43" s="768"/>
      <c r="D43" s="765">
        <v>18000000</v>
      </c>
      <c r="E43" s="570">
        <v>21545806</v>
      </c>
      <c r="F43" s="570">
        <f t="shared" si="5"/>
        <v>21305810</v>
      </c>
      <c r="G43" s="570">
        <f t="shared" si="6"/>
        <v>-239996</v>
      </c>
      <c r="H43" s="617" t="s">
        <v>4</v>
      </c>
      <c r="I43" s="619"/>
      <c r="J43" s="618"/>
      <c r="K43" s="618"/>
      <c r="L43" s="618"/>
      <c r="M43" s="802"/>
      <c r="N43" s="620">
        <f>SUM(N44:N60)</f>
        <v>21305810</v>
      </c>
    </row>
    <row r="44" spans="1:14" ht="24.75" customHeight="1">
      <c r="A44" s="768"/>
      <c r="B44" s="768"/>
      <c r="C44" s="768"/>
      <c r="D44" s="772"/>
      <c r="E44" s="773"/>
      <c r="F44" s="771"/>
      <c r="G44" s="772"/>
      <c r="H44" s="621" t="s">
        <v>533</v>
      </c>
      <c r="I44" s="622">
        <v>120000</v>
      </c>
      <c r="J44" s="623">
        <v>12</v>
      </c>
      <c r="K44" s="624" t="s">
        <v>453</v>
      </c>
      <c r="L44" s="622"/>
      <c r="M44" s="625" t="s">
        <v>33</v>
      </c>
      <c r="N44" s="626">
        <f t="shared" ref="N44:N60" si="7">I44*J44</f>
        <v>1440000</v>
      </c>
    </row>
    <row r="45" spans="1:14" ht="24.75" customHeight="1">
      <c r="A45" s="768"/>
      <c r="B45" s="768"/>
      <c r="C45" s="768"/>
      <c r="D45" s="772"/>
      <c r="E45" s="768"/>
      <c r="F45" s="771"/>
      <c r="G45" s="772"/>
      <c r="H45" s="608" t="s">
        <v>531</v>
      </c>
      <c r="I45" s="627">
        <v>120000</v>
      </c>
      <c r="J45" s="599">
        <v>12</v>
      </c>
      <c r="K45" s="600" t="s">
        <v>453</v>
      </c>
      <c r="L45" s="627"/>
      <c r="M45" s="628" t="s">
        <v>33</v>
      </c>
      <c r="N45" s="602">
        <f t="shared" si="7"/>
        <v>1440000</v>
      </c>
    </row>
    <row r="46" spans="1:14" ht="24.75" customHeight="1">
      <c r="A46" s="768"/>
      <c r="B46" s="768"/>
      <c r="C46" s="768"/>
      <c r="D46" s="772"/>
      <c r="E46" s="768"/>
      <c r="F46" s="771"/>
      <c r="G46" s="772"/>
      <c r="H46" s="608" t="s">
        <v>529</v>
      </c>
      <c r="I46" s="627">
        <v>120000</v>
      </c>
      <c r="J46" s="599">
        <v>12</v>
      </c>
      <c r="K46" s="600" t="s">
        <v>453</v>
      </c>
      <c r="L46" s="627"/>
      <c r="M46" s="628" t="s">
        <v>33</v>
      </c>
      <c r="N46" s="602">
        <f t="shared" si="7"/>
        <v>1440000</v>
      </c>
    </row>
    <row r="47" spans="1:14" ht="24.75" customHeight="1">
      <c r="A47" s="768"/>
      <c r="B47" s="768"/>
      <c r="C47" s="768"/>
      <c r="D47" s="772"/>
      <c r="E47" s="768"/>
      <c r="F47" s="771"/>
      <c r="G47" s="772"/>
      <c r="H47" s="598" t="s">
        <v>529</v>
      </c>
      <c r="I47" s="627">
        <v>120000</v>
      </c>
      <c r="J47" s="599">
        <v>12</v>
      </c>
      <c r="K47" s="600" t="s">
        <v>453</v>
      </c>
      <c r="L47" s="627"/>
      <c r="M47" s="628" t="s">
        <v>33</v>
      </c>
      <c r="N47" s="602">
        <f t="shared" si="7"/>
        <v>1440000</v>
      </c>
    </row>
    <row r="48" spans="1:14" ht="24.75" customHeight="1">
      <c r="A48" s="768"/>
      <c r="B48" s="768"/>
      <c r="C48" s="768"/>
      <c r="D48" s="772"/>
      <c r="E48" s="768"/>
      <c r="F48" s="771"/>
      <c r="G48" s="772"/>
      <c r="H48" s="598" t="s">
        <v>529</v>
      </c>
      <c r="I48" s="627">
        <v>120000</v>
      </c>
      <c r="J48" s="599">
        <v>12</v>
      </c>
      <c r="K48" s="600" t="s">
        <v>453</v>
      </c>
      <c r="L48" s="627"/>
      <c r="M48" s="628" t="s">
        <v>33</v>
      </c>
      <c r="N48" s="602">
        <f t="shared" si="7"/>
        <v>1440000</v>
      </c>
    </row>
    <row r="49" spans="1:14" ht="24.75" customHeight="1">
      <c r="A49" s="768"/>
      <c r="B49" s="768"/>
      <c r="C49" s="768"/>
      <c r="D49" s="772"/>
      <c r="E49" s="768"/>
      <c r="F49" s="771"/>
      <c r="G49" s="772"/>
      <c r="H49" s="967" t="s">
        <v>536</v>
      </c>
      <c r="I49" s="974">
        <v>120000</v>
      </c>
      <c r="J49" s="975">
        <v>4</v>
      </c>
      <c r="K49" s="968" t="s">
        <v>453</v>
      </c>
      <c r="L49" s="968" t="s">
        <v>696</v>
      </c>
      <c r="M49" s="976" t="s">
        <v>33</v>
      </c>
      <c r="N49" s="977">
        <f t="shared" si="7"/>
        <v>480000</v>
      </c>
    </row>
    <row r="50" spans="1:14" ht="24.75" customHeight="1">
      <c r="A50" s="768"/>
      <c r="B50" s="768"/>
      <c r="C50" s="768"/>
      <c r="D50" s="772"/>
      <c r="E50" s="768"/>
      <c r="F50" s="771"/>
      <c r="G50" s="772"/>
      <c r="H50" s="598" t="s">
        <v>535</v>
      </c>
      <c r="I50" s="627">
        <v>120000</v>
      </c>
      <c r="J50" s="599">
        <v>12</v>
      </c>
      <c r="K50" s="600" t="s">
        <v>453</v>
      </c>
      <c r="L50" s="627"/>
      <c r="M50" s="628" t="s">
        <v>33</v>
      </c>
      <c r="N50" s="602">
        <f t="shared" si="7"/>
        <v>1440000</v>
      </c>
    </row>
    <row r="51" spans="1:14" ht="24.75" customHeight="1">
      <c r="A51" s="768"/>
      <c r="B51" s="768"/>
      <c r="C51" s="768"/>
      <c r="D51" s="772"/>
      <c r="E51" s="768"/>
      <c r="F51" s="771"/>
      <c r="G51" s="772"/>
      <c r="H51" s="598" t="s">
        <v>535</v>
      </c>
      <c r="I51" s="627">
        <v>120000</v>
      </c>
      <c r="J51" s="599">
        <v>12</v>
      </c>
      <c r="K51" s="600" t="s">
        <v>453</v>
      </c>
      <c r="L51" s="627"/>
      <c r="M51" s="628" t="s">
        <v>33</v>
      </c>
      <c r="N51" s="602">
        <f t="shared" si="7"/>
        <v>1440000</v>
      </c>
    </row>
    <row r="52" spans="1:14" ht="24.75" customHeight="1">
      <c r="A52" s="768"/>
      <c r="B52" s="768"/>
      <c r="C52" s="768"/>
      <c r="D52" s="772"/>
      <c r="E52" s="768"/>
      <c r="F52" s="771"/>
      <c r="G52" s="772"/>
      <c r="H52" s="598" t="s">
        <v>535</v>
      </c>
      <c r="I52" s="627">
        <v>120000</v>
      </c>
      <c r="J52" s="599">
        <v>12</v>
      </c>
      <c r="K52" s="600" t="s">
        <v>453</v>
      </c>
      <c r="L52" s="627"/>
      <c r="M52" s="628" t="s">
        <v>33</v>
      </c>
      <c r="N52" s="602">
        <f t="shared" si="7"/>
        <v>1440000</v>
      </c>
    </row>
    <row r="53" spans="1:14" ht="24.75" customHeight="1">
      <c r="A53" s="768"/>
      <c r="B53" s="768"/>
      <c r="C53" s="768"/>
      <c r="D53" s="772"/>
      <c r="E53" s="768"/>
      <c r="F53" s="771"/>
      <c r="G53" s="772"/>
      <c r="H53" s="598" t="s">
        <v>535</v>
      </c>
      <c r="I53" s="627">
        <v>120000</v>
      </c>
      <c r="J53" s="599">
        <v>6</v>
      </c>
      <c r="K53" s="600" t="s">
        <v>453</v>
      </c>
      <c r="L53" s="600" t="s">
        <v>700</v>
      </c>
      <c r="M53" s="628" t="s">
        <v>33</v>
      </c>
      <c r="N53" s="602">
        <f t="shared" ref="N53" si="8">I53*J53</f>
        <v>720000</v>
      </c>
    </row>
    <row r="54" spans="1:14" ht="24.75" customHeight="1">
      <c r="A54" s="768"/>
      <c r="B54" s="768"/>
      <c r="C54" s="768"/>
      <c r="D54" s="772"/>
      <c r="E54" s="768"/>
      <c r="F54" s="771"/>
      <c r="G54" s="772"/>
      <c r="H54" s="1538" t="s">
        <v>695</v>
      </c>
      <c r="I54" s="585">
        <v>65810</v>
      </c>
      <c r="J54" s="584">
        <v>1</v>
      </c>
      <c r="K54" s="585" t="s">
        <v>453</v>
      </c>
      <c r="L54" s="585"/>
      <c r="M54" s="1540" t="s">
        <v>33</v>
      </c>
      <c r="N54" s="597">
        <f t="shared" si="7"/>
        <v>65810</v>
      </c>
    </row>
    <row r="55" spans="1:14" ht="24.75" customHeight="1">
      <c r="A55" s="768"/>
      <c r="B55" s="768"/>
      <c r="C55" s="768"/>
      <c r="D55" s="772"/>
      <c r="E55" s="768"/>
      <c r="F55" s="771"/>
      <c r="G55" s="772"/>
      <c r="H55" s="1539"/>
      <c r="I55" s="588">
        <v>120000</v>
      </c>
      <c r="J55" s="587">
        <v>11</v>
      </c>
      <c r="K55" s="588" t="s">
        <v>453</v>
      </c>
      <c r="L55" s="588"/>
      <c r="M55" s="1541"/>
      <c r="N55" s="894">
        <f>I55*J55</f>
        <v>1320000</v>
      </c>
    </row>
    <row r="56" spans="1:14" ht="24.75" customHeight="1">
      <c r="A56" s="768"/>
      <c r="B56" s="768"/>
      <c r="C56" s="768"/>
      <c r="D56" s="772"/>
      <c r="E56" s="768"/>
      <c r="F56" s="771"/>
      <c r="G56" s="772"/>
      <c r="H56" s="629" t="s">
        <v>538</v>
      </c>
      <c r="I56" s="627">
        <v>120000</v>
      </c>
      <c r="J56" s="599">
        <v>12</v>
      </c>
      <c r="K56" s="600" t="s">
        <v>453</v>
      </c>
      <c r="L56" s="627"/>
      <c r="M56" s="628" t="s">
        <v>33</v>
      </c>
      <c r="N56" s="602">
        <f t="shared" si="7"/>
        <v>1440000</v>
      </c>
    </row>
    <row r="57" spans="1:14" ht="24.75" customHeight="1">
      <c r="A57" s="768"/>
      <c r="B57" s="768"/>
      <c r="C57" s="768"/>
      <c r="D57" s="772"/>
      <c r="E57" s="768"/>
      <c r="F57" s="771"/>
      <c r="G57" s="772"/>
      <c r="H57" s="630" t="s">
        <v>540</v>
      </c>
      <c r="I57" s="631">
        <v>120000</v>
      </c>
      <c r="J57" s="632">
        <v>12</v>
      </c>
      <c r="K57" s="633" t="s">
        <v>453</v>
      </c>
      <c r="L57" s="631"/>
      <c r="M57" s="634" t="s">
        <v>33</v>
      </c>
      <c r="N57" s="635">
        <f t="shared" si="7"/>
        <v>1440000</v>
      </c>
    </row>
    <row r="58" spans="1:14" ht="24.75" customHeight="1">
      <c r="A58" s="768"/>
      <c r="B58" s="768"/>
      <c r="C58" s="768"/>
      <c r="D58" s="772"/>
      <c r="E58" s="768"/>
      <c r="F58" s="771"/>
      <c r="G58" s="772"/>
      <c r="H58" s="629" t="s">
        <v>542</v>
      </c>
      <c r="I58" s="627">
        <v>120000</v>
      </c>
      <c r="J58" s="599">
        <v>12</v>
      </c>
      <c r="K58" s="600" t="s">
        <v>453</v>
      </c>
      <c r="L58" s="627"/>
      <c r="M58" s="628" t="s">
        <v>33</v>
      </c>
      <c r="N58" s="592">
        <f t="shared" si="7"/>
        <v>1440000</v>
      </c>
    </row>
    <row r="59" spans="1:14" ht="24.75" customHeight="1">
      <c r="A59" s="768"/>
      <c r="B59" s="768"/>
      <c r="C59" s="768"/>
      <c r="D59" s="772"/>
      <c r="E59" s="768"/>
      <c r="F59" s="771"/>
      <c r="G59" s="772"/>
      <c r="H59" s="629" t="s">
        <v>542</v>
      </c>
      <c r="I59" s="627">
        <v>120000</v>
      </c>
      <c r="J59" s="599">
        <v>12</v>
      </c>
      <c r="K59" s="600" t="s">
        <v>453</v>
      </c>
      <c r="L59" s="627"/>
      <c r="M59" s="628" t="s">
        <v>33</v>
      </c>
      <c r="N59" s="592">
        <f t="shared" si="7"/>
        <v>1440000</v>
      </c>
    </row>
    <row r="60" spans="1:14" ht="24.75" customHeight="1" thickBot="1">
      <c r="A60" s="768"/>
      <c r="B60" s="768"/>
      <c r="C60" s="768"/>
      <c r="D60" s="772"/>
      <c r="E60" s="768"/>
      <c r="F60" s="771"/>
      <c r="G60" s="772"/>
      <c r="H60" s="637" t="s">
        <v>544</v>
      </c>
      <c r="I60" s="638">
        <v>120000</v>
      </c>
      <c r="J60" s="639">
        <v>12</v>
      </c>
      <c r="K60" s="640" t="s">
        <v>453</v>
      </c>
      <c r="L60" s="638"/>
      <c r="M60" s="641" t="s">
        <v>33</v>
      </c>
      <c r="N60" s="642">
        <f t="shared" si="7"/>
        <v>1440000</v>
      </c>
    </row>
    <row r="61" spans="1:14" ht="19.5" thickBot="1">
      <c r="A61" s="768"/>
      <c r="B61" s="768"/>
      <c r="C61" s="771"/>
      <c r="D61" s="766">
        <v>54059580</v>
      </c>
      <c r="E61" s="570">
        <v>56624880</v>
      </c>
      <c r="F61" s="581">
        <f>N61</f>
        <v>55715840</v>
      </c>
      <c r="G61" s="571">
        <f>F61-E61</f>
        <v>-909040</v>
      </c>
      <c r="H61" s="578" t="s">
        <v>6</v>
      </c>
      <c r="I61" s="580"/>
      <c r="J61" s="579"/>
      <c r="K61" s="579"/>
      <c r="L61" s="579"/>
      <c r="M61" s="727"/>
      <c r="N61" s="582">
        <f>SUM(N62:N87)</f>
        <v>55715840</v>
      </c>
    </row>
    <row r="62" spans="1:14" ht="24" customHeight="1">
      <c r="A62" s="768"/>
      <c r="B62" s="768"/>
      <c r="C62" s="771"/>
      <c r="D62" s="772"/>
      <c r="E62" s="768"/>
      <c r="F62" s="664"/>
      <c r="G62" s="772"/>
      <c r="H62" s="1547" t="s">
        <v>532</v>
      </c>
      <c r="I62" s="591">
        <v>3619000</v>
      </c>
      <c r="J62" s="644">
        <v>3</v>
      </c>
      <c r="K62" s="643" t="s">
        <v>453</v>
      </c>
      <c r="L62" s="643" t="s">
        <v>482</v>
      </c>
      <c r="M62" s="645" t="s">
        <v>33</v>
      </c>
      <c r="N62" s="646">
        <v>1168800</v>
      </c>
    </row>
    <row r="63" spans="1:14" ht="24.95" customHeight="1">
      <c r="A63" s="768"/>
      <c r="B63" s="768"/>
      <c r="C63" s="771"/>
      <c r="D63" s="772"/>
      <c r="E63" s="768"/>
      <c r="F63" s="771"/>
      <c r="G63" s="772"/>
      <c r="H63" s="1549"/>
      <c r="I63" s="595">
        <v>3670000</v>
      </c>
      <c r="J63" s="587">
        <v>9</v>
      </c>
      <c r="K63" s="588" t="s">
        <v>453</v>
      </c>
      <c r="L63" s="588" t="s">
        <v>482</v>
      </c>
      <c r="M63" s="647" t="s">
        <v>33</v>
      </c>
      <c r="N63" s="648">
        <v>3555810</v>
      </c>
    </row>
    <row r="64" spans="1:14" ht="24.95" customHeight="1">
      <c r="A64" s="768"/>
      <c r="B64" s="768"/>
      <c r="C64" s="771"/>
      <c r="D64" s="772"/>
      <c r="E64" s="768"/>
      <c r="F64" s="771"/>
      <c r="G64" s="772"/>
      <c r="H64" s="1547" t="s">
        <v>530</v>
      </c>
      <c r="I64" s="585">
        <v>4246000</v>
      </c>
      <c r="J64" s="590">
        <v>6</v>
      </c>
      <c r="K64" s="591" t="s">
        <v>453</v>
      </c>
      <c r="L64" s="591" t="s">
        <v>482</v>
      </c>
      <c r="M64" s="649" t="s">
        <v>33</v>
      </c>
      <c r="N64" s="650">
        <v>2742600</v>
      </c>
    </row>
    <row r="65" spans="1:14" ht="24.95" customHeight="1">
      <c r="A65" s="768"/>
      <c r="B65" s="768"/>
      <c r="C65" s="771"/>
      <c r="D65" s="772"/>
      <c r="E65" s="768"/>
      <c r="F65" s="771"/>
      <c r="G65" s="772"/>
      <c r="H65" s="1549"/>
      <c r="I65" s="588">
        <v>4298000</v>
      </c>
      <c r="J65" s="594">
        <v>6</v>
      </c>
      <c r="K65" s="595" t="s">
        <v>453</v>
      </c>
      <c r="L65" s="595" t="s">
        <v>482</v>
      </c>
      <c r="M65" s="651" t="s">
        <v>33</v>
      </c>
      <c r="N65" s="652">
        <v>2776200</v>
      </c>
    </row>
    <row r="66" spans="1:14" ht="24.95" customHeight="1">
      <c r="A66" s="768"/>
      <c r="B66" s="768"/>
      <c r="C66" s="771"/>
      <c r="D66" s="772"/>
      <c r="E66" s="768"/>
      <c r="F66" s="771"/>
      <c r="G66" s="772"/>
      <c r="H66" s="1547" t="s">
        <v>530</v>
      </c>
      <c r="I66" s="591">
        <v>4010000</v>
      </c>
      <c r="J66" s="590">
        <v>8</v>
      </c>
      <c r="K66" s="591" t="s">
        <v>453</v>
      </c>
      <c r="L66" s="591" t="s">
        <v>482</v>
      </c>
      <c r="M66" s="649" t="s">
        <v>33</v>
      </c>
      <c r="N66" s="650">
        <v>3453520</v>
      </c>
    </row>
    <row r="67" spans="1:14" ht="24.95" customHeight="1">
      <c r="A67" s="768"/>
      <c r="B67" s="768"/>
      <c r="C67" s="771"/>
      <c r="D67" s="772"/>
      <c r="E67" s="768"/>
      <c r="F67" s="771"/>
      <c r="G67" s="772"/>
      <c r="H67" s="1549"/>
      <c r="I67" s="595">
        <v>4071000</v>
      </c>
      <c r="J67" s="594">
        <v>4</v>
      </c>
      <c r="K67" s="595" t="s">
        <v>453</v>
      </c>
      <c r="L67" s="595" t="s">
        <v>482</v>
      </c>
      <c r="M67" s="651" t="s">
        <v>33</v>
      </c>
      <c r="N67" s="652">
        <v>1753040</v>
      </c>
    </row>
    <row r="68" spans="1:14" ht="24.95" customHeight="1">
      <c r="A68" s="768"/>
      <c r="B68" s="768"/>
      <c r="C68" s="771"/>
      <c r="D68" s="772"/>
      <c r="E68" s="768"/>
      <c r="F68" s="771"/>
      <c r="G68" s="772"/>
      <c r="H68" s="1547" t="s">
        <v>530</v>
      </c>
      <c r="I68" s="585">
        <v>4133000</v>
      </c>
      <c r="J68" s="590">
        <v>11</v>
      </c>
      <c r="K68" s="591" t="s">
        <v>453</v>
      </c>
      <c r="L68" s="591" t="s">
        <v>482</v>
      </c>
      <c r="M68" s="649" t="s">
        <v>33</v>
      </c>
      <c r="N68" s="650">
        <v>4894340</v>
      </c>
    </row>
    <row r="69" spans="1:14" ht="24.95" customHeight="1">
      <c r="A69" s="768"/>
      <c r="B69" s="768"/>
      <c r="C69" s="771"/>
      <c r="D69" s="772"/>
      <c r="E69" s="768"/>
      <c r="F69" s="771"/>
      <c r="G69" s="772"/>
      <c r="H69" s="1549"/>
      <c r="I69" s="588">
        <v>4190000</v>
      </c>
      <c r="J69" s="594">
        <v>1</v>
      </c>
      <c r="K69" s="595" t="s">
        <v>453</v>
      </c>
      <c r="L69" s="595" t="s">
        <v>482</v>
      </c>
      <c r="M69" s="651" t="s">
        <v>33</v>
      </c>
      <c r="N69" s="652">
        <v>451070</v>
      </c>
    </row>
    <row r="70" spans="1:14" ht="24.95" customHeight="1">
      <c r="A70" s="768"/>
      <c r="B70" s="768"/>
      <c r="C70" s="771"/>
      <c r="D70" s="772"/>
      <c r="E70" s="768"/>
      <c r="F70" s="771"/>
      <c r="G70" s="772"/>
      <c r="H70" s="967" t="s">
        <v>536</v>
      </c>
      <c r="I70" s="968">
        <v>2941000</v>
      </c>
      <c r="J70" s="969">
        <v>4</v>
      </c>
      <c r="K70" s="970" t="s">
        <v>453</v>
      </c>
      <c r="L70" s="971" t="s">
        <v>697</v>
      </c>
      <c r="M70" s="972" t="s">
        <v>33</v>
      </c>
      <c r="N70" s="973">
        <v>1266440</v>
      </c>
    </row>
    <row r="71" spans="1:14" ht="24.75" customHeight="1">
      <c r="A71" s="768"/>
      <c r="B71" s="768"/>
      <c r="C71" s="771"/>
      <c r="D71" s="772"/>
      <c r="E71" s="768"/>
      <c r="F71" s="771"/>
      <c r="G71" s="772"/>
      <c r="H71" s="1538" t="s">
        <v>535</v>
      </c>
      <c r="I71" s="585">
        <v>2999000</v>
      </c>
      <c r="J71" s="584">
        <v>4</v>
      </c>
      <c r="K71" s="591" t="s">
        <v>453</v>
      </c>
      <c r="L71" s="591" t="s">
        <v>482</v>
      </c>
      <c r="M71" s="649" t="s">
        <v>33</v>
      </c>
      <c r="N71" s="650">
        <v>1291400</v>
      </c>
    </row>
    <row r="72" spans="1:14" ht="24.95" customHeight="1">
      <c r="A72" s="768"/>
      <c r="B72" s="768"/>
      <c r="C72" s="771"/>
      <c r="D72" s="772"/>
      <c r="E72" s="768"/>
      <c r="F72" s="771"/>
      <c r="G72" s="772"/>
      <c r="H72" s="1539"/>
      <c r="I72" s="588">
        <v>3073000</v>
      </c>
      <c r="J72" s="587">
        <v>8</v>
      </c>
      <c r="K72" s="595" t="s">
        <v>453</v>
      </c>
      <c r="L72" s="595" t="s">
        <v>482</v>
      </c>
      <c r="M72" s="651" t="s">
        <v>33</v>
      </c>
      <c r="N72" s="652">
        <v>2646560</v>
      </c>
    </row>
    <row r="73" spans="1:14" ht="25.5" customHeight="1">
      <c r="A73" s="768"/>
      <c r="B73" s="768"/>
      <c r="C73" s="771"/>
      <c r="D73" s="772"/>
      <c r="E73" s="768"/>
      <c r="F73" s="771"/>
      <c r="G73" s="772"/>
      <c r="H73" s="1547" t="s">
        <v>535</v>
      </c>
      <c r="I73" s="591">
        <v>2614000</v>
      </c>
      <c r="J73" s="590">
        <v>11</v>
      </c>
      <c r="K73" s="591" t="s">
        <v>453</v>
      </c>
      <c r="L73" s="591" t="s">
        <v>482</v>
      </c>
      <c r="M73" s="649" t="s">
        <v>33</v>
      </c>
      <c r="N73" s="650">
        <v>3095510</v>
      </c>
    </row>
    <row r="74" spans="1:14" ht="26.25" customHeight="1">
      <c r="A74" s="768"/>
      <c r="B74" s="768"/>
      <c r="C74" s="771"/>
      <c r="D74" s="772"/>
      <c r="E74" s="768"/>
      <c r="F74" s="771"/>
      <c r="G74" s="772"/>
      <c r="H74" s="1549"/>
      <c r="I74" s="595">
        <v>2693000</v>
      </c>
      <c r="J74" s="594">
        <v>1</v>
      </c>
      <c r="K74" s="595" t="s">
        <v>453</v>
      </c>
      <c r="L74" s="595" t="s">
        <v>482</v>
      </c>
      <c r="M74" s="651" t="s">
        <v>33</v>
      </c>
      <c r="N74" s="652">
        <v>289910</v>
      </c>
    </row>
    <row r="75" spans="1:14" ht="26.25" customHeight="1">
      <c r="A75" s="768"/>
      <c r="B75" s="768"/>
      <c r="C75" s="771"/>
      <c r="D75" s="772"/>
      <c r="E75" s="768"/>
      <c r="F75" s="771"/>
      <c r="G75" s="772"/>
      <c r="H75" s="1547" t="s">
        <v>535</v>
      </c>
      <c r="I75" s="591">
        <v>3073000</v>
      </c>
      <c r="J75" s="590">
        <v>10</v>
      </c>
      <c r="K75" s="591" t="s">
        <v>453</v>
      </c>
      <c r="L75" s="591" t="s">
        <v>482</v>
      </c>
      <c r="M75" s="649" t="s">
        <v>33</v>
      </c>
      <c r="N75" s="650">
        <v>3308200</v>
      </c>
    </row>
    <row r="76" spans="1:14" ht="26.25" customHeight="1">
      <c r="A76" s="768"/>
      <c r="B76" s="768"/>
      <c r="C76" s="771"/>
      <c r="D76" s="772"/>
      <c r="E76" s="768"/>
      <c r="F76" s="771"/>
      <c r="G76" s="772"/>
      <c r="H76" s="1549"/>
      <c r="I76" s="595">
        <v>3148000</v>
      </c>
      <c r="J76" s="594">
        <v>2</v>
      </c>
      <c r="K76" s="595" t="s">
        <v>453</v>
      </c>
      <c r="L76" s="595" t="s">
        <v>482</v>
      </c>
      <c r="M76" s="651" t="s">
        <v>33</v>
      </c>
      <c r="N76" s="652">
        <v>677780</v>
      </c>
    </row>
    <row r="77" spans="1:14" ht="26.25" customHeight="1">
      <c r="A77" s="768"/>
      <c r="B77" s="768"/>
      <c r="C77" s="771"/>
      <c r="D77" s="772"/>
      <c r="E77" s="768"/>
      <c r="F77" s="771"/>
      <c r="G77" s="772"/>
      <c r="H77" s="997" t="s">
        <v>536</v>
      </c>
      <c r="I77" s="998">
        <v>2514000</v>
      </c>
      <c r="J77" s="999">
        <v>4</v>
      </c>
      <c r="K77" s="1000" t="s">
        <v>453</v>
      </c>
      <c r="L77" s="1001" t="s">
        <v>701</v>
      </c>
      <c r="M77" s="1002" t="s">
        <v>33</v>
      </c>
      <c r="N77" s="1003">
        <v>1623840</v>
      </c>
    </row>
    <row r="78" spans="1:14" ht="26.25" customHeight="1">
      <c r="A78" s="768"/>
      <c r="B78" s="768"/>
      <c r="C78" s="771"/>
      <c r="D78" s="772"/>
      <c r="E78" s="768"/>
      <c r="F78" s="771"/>
      <c r="G78" s="772"/>
      <c r="H78" s="1547" t="s">
        <v>537</v>
      </c>
      <c r="I78" s="591">
        <v>1351774</v>
      </c>
      <c r="J78" s="590">
        <v>1</v>
      </c>
      <c r="K78" s="591" t="s">
        <v>453</v>
      </c>
      <c r="L78" s="591" t="s">
        <v>482</v>
      </c>
      <c r="M78" s="751" t="s">
        <v>33</v>
      </c>
      <c r="N78" s="650">
        <v>159220</v>
      </c>
    </row>
    <row r="79" spans="1:14" ht="26.25" customHeight="1">
      <c r="A79" s="768"/>
      <c r="B79" s="768"/>
      <c r="C79" s="771"/>
      <c r="D79" s="772"/>
      <c r="E79" s="768"/>
      <c r="F79" s="771"/>
      <c r="G79" s="772"/>
      <c r="H79" s="1548"/>
      <c r="I79" s="585">
        <v>2345000</v>
      </c>
      <c r="J79" s="584">
        <v>3</v>
      </c>
      <c r="K79" s="585" t="s">
        <v>453</v>
      </c>
      <c r="L79" s="585" t="s">
        <v>482</v>
      </c>
      <c r="M79" s="748" t="s">
        <v>33</v>
      </c>
      <c r="N79" s="655">
        <v>796110</v>
      </c>
    </row>
    <row r="80" spans="1:14" ht="26.25" customHeight="1">
      <c r="A80" s="768"/>
      <c r="B80" s="768"/>
      <c r="C80" s="771"/>
      <c r="D80" s="772"/>
      <c r="E80" s="768"/>
      <c r="F80" s="771"/>
      <c r="G80" s="772"/>
      <c r="H80" s="1549"/>
      <c r="I80" s="595">
        <v>2370000</v>
      </c>
      <c r="J80" s="594">
        <v>8</v>
      </c>
      <c r="K80" s="595" t="s">
        <v>453</v>
      </c>
      <c r="L80" s="595" t="s">
        <v>482</v>
      </c>
      <c r="M80" s="651" t="s">
        <v>33</v>
      </c>
      <c r="N80" s="652">
        <v>2144480</v>
      </c>
    </row>
    <row r="81" spans="1:14" ht="26.25" customHeight="1">
      <c r="A81" s="768"/>
      <c r="B81" s="768"/>
      <c r="C81" s="771"/>
      <c r="D81" s="772"/>
      <c r="E81" s="768"/>
      <c r="F81" s="771"/>
      <c r="G81" s="772"/>
      <c r="H81" s="603" t="s">
        <v>539</v>
      </c>
      <c r="I81" s="605">
        <v>3198000</v>
      </c>
      <c r="J81" s="604">
        <v>12</v>
      </c>
      <c r="K81" s="627" t="s">
        <v>453</v>
      </c>
      <c r="L81" s="591" t="s">
        <v>482</v>
      </c>
      <c r="M81" s="657" t="s">
        <v>33</v>
      </c>
      <c r="N81" s="658">
        <v>4131360</v>
      </c>
    </row>
    <row r="82" spans="1:14" ht="26.25" customHeight="1">
      <c r="A82" s="768"/>
      <c r="B82" s="768"/>
      <c r="C82" s="771"/>
      <c r="D82" s="772"/>
      <c r="E82" s="768"/>
      <c r="F82" s="771"/>
      <c r="G82" s="772"/>
      <c r="H82" s="1547" t="s">
        <v>541</v>
      </c>
      <c r="I82" s="591">
        <v>2931000</v>
      </c>
      <c r="J82" s="590">
        <v>5</v>
      </c>
      <c r="K82" s="591" t="s">
        <v>453</v>
      </c>
      <c r="L82" s="591" t="s">
        <v>482</v>
      </c>
      <c r="M82" s="649" t="s">
        <v>33</v>
      </c>
      <c r="N82" s="650">
        <v>1577650</v>
      </c>
    </row>
    <row r="83" spans="1:14" ht="26.25" customHeight="1">
      <c r="A83" s="768"/>
      <c r="B83" s="768"/>
      <c r="C83" s="771"/>
      <c r="D83" s="772"/>
      <c r="E83" s="768"/>
      <c r="F83" s="771"/>
      <c r="G83" s="772"/>
      <c r="H83" s="1549"/>
      <c r="I83" s="595">
        <v>2984000</v>
      </c>
      <c r="J83" s="594">
        <v>7</v>
      </c>
      <c r="K83" s="595" t="s">
        <v>453</v>
      </c>
      <c r="L83" s="595" t="s">
        <v>482</v>
      </c>
      <c r="M83" s="651" t="s">
        <v>33</v>
      </c>
      <c r="N83" s="652">
        <v>2248680</v>
      </c>
    </row>
    <row r="84" spans="1:14" ht="26.25" customHeight="1">
      <c r="A84" s="768"/>
      <c r="B84" s="768"/>
      <c r="C84" s="771"/>
      <c r="D84" s="772"/>
      <c r="E84" s="768"/>
      <c r="F84" s="771"/>
      <c r="G84" s="772"/>
      <c r="H84" s="1538" t="s">
        <v>542</v>
      </c>
      <c r="I84" s="585">
        <v>2466000</v>
      </c>
      <c r="J84" s="584">
        <v>8</v>
      </c>
      <c r="K84" s="591" t="s">
        <v>453</v>
      </c>
      <c r="L84" s="591" t="s">
        <v>482</v>
      </c>
      <c r="M84" s="649" t="s">
        <v>33</v>
      </c>
      <c r="N84" s="650">
        <v>2123760</v>
      </c>
    </row>
    <row r="85" spans="1:14" ht="26.25" customHeight="1">
      <c r="A85" s="768"/>
      <c r="B85" s="768"/>
      <c r="C85" s="771"/>
      <c r="D85" s="772"/>
      <c r="E85" s="768"/>
      <c r="F85" s="771"/>
      <c r="G85" s="772"/>
      <c r="H85" s="1539"/>
      <c r="I85" s="588">
        <v>2491000</v>
      </c>
      <c r="J85" s="587">
        <v>4</v>
      </c>
      <c r="K85" s="585" t="s">
        <v>453</v>
      </c>
      <c r="L85" s="585" t="s">
        <v>482</v>
      </c>
      <c r="M85" s="748" t="s">
        <v>33</v>
      </c>
      <c r="N85" s="724">
        <v>1072640</v>
      </c>
    </row>
    <row r="86" spans="1:14" ht="24.75" customHeight="1">
      <c r="A86" s="768"/>
      <c r="B86" s="768"/>
      <c r="C86" s="771"/>
      <c r="D86" s="772"/>
      <c r="E86" s="768"/>
      <c r="F86" s="771"/>
      <c r="G86" s="772"/>
      <c r="H86" s="608" t="s">
        <v>542</v>
      </c>
      <c r="I86" s="600">
        <v>2466000</v>
      </c>
      <c r="J86" s="599">
        <v>12</v>
      </c>
      <c r="K86" s="600" t="s">
        <v>453</v>
      </c>
      <c r="L86" s="591" t="s">
        <v>482</v>
      </c>
      <c r="M86" s="657" t="s">
        <v>33</v>
      </c>
      <c r="N86" s="658">
        <v>3185640</v>
      </c>
    </row>
    <row r="87" spans="1:14" ht="24.95" customHeight="1" thickBot="1">
      <c r="A87" s="768"/>
      <c r="B87" s="768"/>
      <c r="C87" s="771"/>
      <c r="D87" s="772"/>
      <c r="E87" s="768"/>
      <c r="F87" s="771"/>
      <c r="G87" s="772"/>
      <c r="H87" s="609" t="s">
        <v>544</v>
      </c>
      <c r="I87" s="611">
        <v>2540000</v>
      </c>
      <c r="J87" s="610">
        <v>12</v>
      </c>
      <c r="K87" s="611" t="s">
        <v>453</v>
      </c>
      <c r="L87" s="591" t="s">
        <v>482</v>
      </c>
      <c r="M87" s="659" t="s">
        <v>33</v>
      </c>
      <c r="N87" s="660">
        <v>3281280</v>
      </c>
    </row>
    <row r="88" spans="1:14" ht="19.5" thickBot="1">
      <c r="A88" s="768"/>
      <c r="B88" s="768"/>
      <c r="C88" s="771"/>
      <c r="D88" s="766">
        <v>10220000</v>
      </c>
      <c r="E88" s="570">
        <v>8880000</v>
      </c>
      <c r="F88" s="581">
        <f>N88</f>
        <v>6700000</v>
      </c>
      <c r="G88" s="571">
        <f>F88-E88</f>
        <v>-2180000</v>
      </c>
      <c r="H88" s="578" t="s">
        <v>5</v>
      </c>
      <c r="I88" s="580"/>
      <c r="J88" s="579"/>
      <c r="K88" s="579"/>
      <c r="L88" s="579"/>
      <c r="M88" s="727"/>
      <c r="N88" s="582">
        <f>SUM(N89:N106)</f>
        <v>6700000</v>
      </c>
    </row>
    <row r="89" spans="1:14" ht="23.25" customHeight="1">
      <c r="A89" s="768"/>
      <c r="B89" s="768"/>
      <c r="C89" s="771"/>
      <c r="D89" s="772"/>
      <c r="E89" s="768"/>
      <c r="F89" s="771"/>
      <c r="G89" s="772"/>
      <c r="H89" s="1532" t="s">
        <v>533</v>
      </c>
      <c r="I89" s="591">
        <v>40000</v>
      </c>
      <c r="J89" s="590">
        <v>12</v>
      </c>
      <c r="K89" s="591" t="s">
        <v>453</v>
      </c>
      <c r="L89" s="591" t="s">
        <v>483</v>
      </c>
      <c r="M89" s="1542" t="s">
        <v>33</v>
      </c>
      <c r="N89" s="853">
        <f t="shared" ref="N89:N93" si="9">I89*J89</f>
        <v>480000</v>
      </c>
    </row>
    <row r="90" spans="1:14" ht="23.25" customHeight="1">
      <c r="A90" s="768"/>
      <c r="B90" s="768"/>
      <c r="C90" s="771"/>
      <c r="D90" s="772"/>
      <c r="E90" s="768"/>
      <c r="F90" s="771"/>
      <c r="G90" s="772"/>
      <c r="H90" s="1533"/>
      <c r="I90" s="668">
        <v>20000</v>
      </c>
      <c r="J90" s="667">
        <v>12</v>
      </c>
      <c r="K90" s="668" t="s">
        <v>453</v>
      </c>
      <c r="L90" s="668" t="s">
        <v>485</v>
      </c>
      <c r="M90" s="1543"/>
      <c r="N90" s="675">
        <f t="shared" si="9"/>
        <v>240000</v>
      </c>
    </row>
    <row r="91" spans="1:14" ht="23.25" customHeight="1">
      <c r="A91" s="768"/>
      <c r="B91" s="768"/>
      <c r="C91" s="771"/>
      <c r="D91" s="772"/>
      <c r="E91" s="768"/>
      <c r="F91" s="771"/>
      <c r="G91" s="772"/>
      <c r="H91" s="1532" t="s">
        <v>529</v>
      </c>
      <c r="I91" s="591">
        <v>40000</v>
      </c>
      <c r="J91" s="590">
        <v>12</v>
      </c>
      <c r="K91" s="591" t="s">
        <v>453</v>
      </c>
      <c r="L91" s="591" t="s">
        <v>483</v>
      </c>
      <c r="M91" s="1530" t="s">
        <v>33</v>
      </c>
      <c r="N91" s="853">
        <f t="shared" si="9"/>
        <v>480000</v>
      </c>
    </row>
    <row r="92" spans="1:14" ht="23.25" customHeight="1">
      <c r="A92" s="768"/>
      <c r="B92" s="768"/>
      <c r="C92" s="771"/>
      <c r="D92" s="772"/>
      <c r="E92" s="768"/>
      <c r="F92" s="771"/>
      <c r="G92" s="772"/>
      <c r="H92" s="1533"/>
      <c r="I92" s="668">
        <v>30000</v>
      </c>
      <c r="J92" s="667">
        <v>12</v>
      </c>
      <c r="K92" s="668" t="s">
        <v>453</v>
      </c>
      <c r="L92" s="668" t="s">
        <v>581</v>
      </c>
      <c r="M92" s="1543"/>
      <c r="N92" s="675">
        <f t="shared" si="9"/>
        <v>360000</v>
      </c>
    </row>
    <row r="93" spans="1:14" ht="23.25" customHeight="1">
      <c r="A93" s="768"/>
      <c r="B93" s="768"/>
      <c r="C93" s="771"/>
      <c r="D93" s="772"/>
      <c r="E93" s="768"/>
      <c r="F93" s="771"/>
      <c r="G93" s="772"/>
      <c r="H93" s="1558" t="s">
        <v>529</v>
      </c>
      <c r="I93" s="591">
        <v>40000</v>
      </c>
      <c r="J93" s="590">
        <v>12</v>
      </c>
      <c r="K93" s="591" t="s">
        <v>453</v>
      </c>
      <c r="L93" s="591" t="s">
        <v>483</v>
      </c>
      <c r="M93" s="1530" t="s">
        <v>33</v>
      </c>
      <c r="N93" s="853">
        <f t="shared" si="9"/>
        <v>480000</v>
      </c>
    </row>
    <row r="94" spans="1:14" ht="23.25" customHeight="1">
      <c r="A94" s="768"/>
      <c r="B94" s="768"/>
      <c r="C94" s="771"/>
      <c r="D94" s="772"/>
      <c r="E94" s="768"/>
      <c r="F94" s="771"/>
      <c r="G94" s="772"/>
      <c r="H94" s="1559"/>
      <c r="I94" s="605">
        <v>30000</v>
      </c>
      <c r="J94" s="654">
        <v>12</v>
      </c>
      <c r="K94" s="605" t="s">
        <v>453</v>
      </c>
      <c r="L94" s="605" t="s">
        <v>581</v>
      </c>
      <c r="M94" s="1531"/>
      <c r="N94" s="675">
        <f t="shared" ref="N94:N102" si="10">I94*J94</f>
        <v>360000</v>
      </c>
    </row>
    <row r="95" spans="1:14" ht="23.25" customHeight="1">
      <c r="A95" s="768"/>
      <c r="B95" s="768"/>
      <c r="C95" s="771"/>
      <c r="D95" s="772"/>
      <c r="E95" s="768"/>
      <c r="F95" s="771"/>
      <c r="G95" s="772"/>
      <c r="H95" s="1563" t="s">
        <v>535</v>
      </c>
      <c r="I95" s="989">
        <v>40000</v>
      </c>
      <c r="J95" s="990">
        <v>4</v>
      </c>
      <c r="K95" s="989" t="s">
        <v>453</v>
      </c>
      <c r="L95" s="989" t="s">
        <v>483</v>
      </c>
      <c r="M95" s="1560" t="s">
        <v>33</v>
      </c>
      <c r="N95" s="991">
        <f t="shared" si="10"/>
        <v>160000</v>
      </c>
    </row>
    <row r="96" spans="1:14" ht="23.25" customHeight="1">
      <c r="A96" s="768"/>
      <c r="B96" s="768"/>
      <c r="C96" s="771"/>
      <c r="D96" s="772"/>
      <c r="E96" s="768"/>
      <c r="F96" s="771"/>
      <c r="G96" s="772"/>
      <c r="H96" s="1564"/>
      <c r="I96" s="992">
        <v>40000</v>
      </c>
      <c r="J96" s="993">
        <v>4</v>
      </c>
      <c r="K96" s="992" t="s">
        <v>453</v>
      </c>
      <c r="L96" s="992" t="s">
        <v>484</v>
      </c>
      <c r="M96" s="1561"/>
      <c r="N96" s="994">
        <f t="shared" si="10"/>
        <v>160000</v>
      </c>
    </row>
    <row r="97" spans="1:14" ht="23.25" customHeight="1">
      <c r="A97" s="768"/>
      <c r="B97" s="768"/>
      <c r="C97" s="771"/>
      <c r="D97" s="772"/>
      <c r="E97" s="768"/>
      <c r="F97" s="771"/>
      <c r="G97" s="772"/>
      <c r="H97" s="1565"/>
      <c r="I97" s="995">
        <v>210000</v>
      </c>
      <c r="J97" s="969">
        <v>4</v>
      </c>
      <c r="K97" s="995" t="s">
        <v>453</v>
      </c>
      <c r="L97" s="995" t="s">
        <v>486</v>
      </c>
      <c r="M97" s="1562"/>
      <c r="N97" s="996">
        <f t="shared" si="10"/>
        <v>840000</v>
      </c>
    </row>
    <row r="98" spans="1:14" ht="23.25" customHeight="1">
      <c r="A98" s="768"/>
      <c r="B98" s="768"/>
      <c r="C98" s="771"/>
      <c r="D98" s="772"/>
      <c r="E98" s="768"/>
      <c r="F98" s="771"/>
      <c r="G98" s="772"/>
      <c r="H98" s="1532" t="s">
        <v>536</v>
      </c>
      <c r="I98" s="633">
        <v>40000</v>
      </c>
      <c r="J98" s="632">
        <v>12</v>
      </c>
      <c r="K98" s="633" t="s">
        <v>453</v>
      </c>
      <c r="L98" s="633" t="s">
        <v>483</v>
      </c>
      <c r="M98" s="1530" t="s">
        <v>33</v>
      </c>
      <c r="N98" s="853">
        <f t="shared" si="10"/>
        <v>480000</v>
      </c>
    </row>
    <row r="99" spans="1:14" ht="23.25" customHeight="1">
      <c r="A99" s="768"/>
      <c r="B99" s="768"/>
      <c r="C99" s="771"/>
      <c r="D99" s="772"/>
      <c r="E99" s="768"/>
      <c r="F99" s="771"/>
      <c r="G99" s="772"/>
      <c r="H99" s="1548"/>
      <c r="I99" s="588">
        <v>30000</v>
      </c>
      <c r="J99" s="587">
        <v>12</v>
      </c>
      <c r="K99" s="588" t="s">
        <v>453</v>
      </c>
      <c r="L99" s="588" t="s">
        <v>581</v>
      </c>
      <c r="M99" s="1531"/>
      <c r="N99" s="853">
        <f t="shared" si="10"/>
        <v>360000</v>
      </c>
    </row>
    <row r="100" spans="1:14" ht="23.25" customHeight="1">
      <c r="A100" s="768"/>
      <c r="B100" s="768"/>
      <c r="C100" s="771"/>
      <c r="D100" s="772"/>
      <c r="E100" s="768"/>
      <c r="F100" s="771"/>
      <c r="G100" s="772"/>
      <c r="H100" s="1533"/>
      <c r="I100" s="595">
        <v>20000</v>
      </c>
      <c r="J100" s="594">
        <v>7</v>
      </c>
      <c r="K100" s="595" t="s">
        <v>453</v>
      </c>
      <c r="L100" s="595" t="s">
        <v>485</v>
      </c>
      <c r="M100" s="1543"/>
      <c r="N100" s="675">
        <f t="shared" si="10"/>
        <v>140000</v>
      </c>
    </row>
    <row r="101" spans="1:14" ht="23.25" customHeight="1">
      <c r="A101" s="768"/>
      <c r="B101" s="768"/>
      <c r="C101" s="771"/>
      <c r="D101" s="772"/>
      <c r="E101" s="768"/>
      <c r="F101" s="771"/>
      <c r="G101" s="772"/>
      <c r="H101" s="630" t="s">
        <v>536</v>
      </c>
      <c r="I101" s="600">
        <v>40000</v>
      </c>
      <c r="J101" s="599">
        <v>6</v>
      </c>
      <c r="K101" s="600" t="s">
        <v>453</v>
      </c>
      <c r="L101" s="633" t="s">
        <v>483</v>
      </c>
      <c r="M101" s="891" t="s">
        <v>33</v>
      </c>
      <c r="N101" s="895">
        <f>I101*J101</f>
        <v>240000</v>
      </c>
    </row>
    <row r="102" spans="1:14" ht="23.25" customHeight="1">
      <c r="A102" s="768"/>
      <c r="B102" s="768"/>
      <c r="C102" s="771"/>
      <c r="D102" s="772"/>
      <c r="E102" s="768"/>
      <c r="F102" s="771"/>
      <c r="G102" s="772"/>
      <c r="H102" s="630" t="s">
        <v>537</v>
      </c>
      <c r="I102" s="600">
        <v>20000</v>
      </c>
      <c r="J102" s="599">
        <v>12</v>
      </c>
      <c r="K102" s="600" t="s">
        <v>453</v>
      </c>
      <c r="L102" s="600" t="s">
        <v>651</v>
      </c>
      <c r="M102" s="891" t="s">
        <v>33</v>
      </c>
      <c r="N102" s="895">
        <f t="shared" si="10"/>
        <v>240000</v>
      </c>
    </row>
    <row r="103" spans="1:14" ht="23.25" customHeight="1">
      <c r="A103" s="768"/>
      <c r="B103" s="768"/>
      <c r="C103" s="771"/>
      <c r="D103" s="772"/>
      <c r="E103" s="768"/>
      <c r="F103" s="771"/>
      <c r="G103" s="772"/>
      <c r="H103" s="1532" t="s">
        <v>540</v>
      </c>
      <c r="I103" s="605">
        <v>40000</v>
      </c>
      <c r="J103" s="654">
        <v>12</v>
      </c>
      <c r="K103" s="605" t="s">
        <v>453</v>
      </c>
      <c r="L103" s="605" t="s">
        <v>483</v>
      </c>
      <c r="M103" s="1530" t="s">
        <v>33</v>
      </c>
      <c r="N103" s="853">
        <f t="shared" ref="N103:N106" si="11">I103*J103</f>
        <v>480000</v>
      </c>
    </row>
    <row r="104" spans="1:14" ht="23.25" customHeight="1">
      <c r="A104" s="768"/>
      <c r="B104" s="768"/>
      <c r="C104" s="771"/>
      <c r="D104" s="772"/>
      <c r="E104" s="768"/>
      <c r="F104" s="771"/>
      <c r="G104" s="772"/>
      <c r="H104" s="1533"/>
      <c r="I104" s="605">
        <v>20000</v>
      </c>
      <c r="J104" s="654">
        <v>12</v>
      </c>
      <c r="K104" s="605" t="s">
        <v>453</v>
      </c>
      <c r="L104" s="605" t="s">
        <v>582</v>
      </c>
      <c r="M104" s="1531"/>
      <c r="N104" s="675">
        <f t="shared" si="11"/>
        <v>240000</v>
      </c>
    </row>
    <row r="105" spans="1:14" ht="23.25" customHeight="1">
      <c r="A105" s="768"/>
      <c r="B105" s="768"/>
      <c r="C105" s="771"/>
      <c r="D105" s="772"/>
      <c r="E105" s="768"/>
      <c r="F105" s="771"/>
      <c r="G105" s="772"/>
      <c r="H105" s="608" t="s">
        <v>538</v>
      </c>
      <c r="I105" s="600">
        <v>20000</v>
      </c>
      <c r="J105" s="599">
        <v>12</v>
      </c>
      <c r="K105" s="600" t="s">
        <v>453</v>
      </c>
      <c r="L105" s="600" t="s">
        <v>485</v>
      </c>
      <c r="M105" s="671" t="s">
        <v>33</v>
      </c>
      <c r="N105" s="675">
        <f t="shared" si="11"/>
        <v>240000</v>
      </c>
    </row>
    <row r="106" spans="1:14" ht="23.25" customHeight="1" thickBot="1">
      <c r="A106" s="768"/>
      <c r="B106" s="768"/>
      <c r="C106" s="771"/>
      <c r="D106" s="772"/>
      <c r="E106" s="768"/>
      <c r="F106" s="771"/>
      <c r="G106" s="772"/>
      <c r="H106" s="609" t="s">
        <v>544</v>
      </c>
      <c r="I106" s="611">
        <v>60000</v>
      </c>
      <c r="J106" s="610">
        <v>12</v>
      </c>
      <c r="K106" s="585" t="s">
        <v>453</v>
      </c>
      <c r="L106" s="611" t="s">
        <v>493</v>
      </c>
      <c r="M106" s="666" t="s">
        <v>33</v>
      </c>
      <c r="N106" s="675">
        <f t="shared" si="11"/>
        <v>720000</v>
      </c>
    </row>
    <row r="107" spans="1:14" ht="13.5" customHeight="1" thickBot="1">
      <c r="A107" s="768"/>
      <c r="B107" s="768"/>
      <c r="C107" s="771"/>
      <c r="D107" s="766">
        <v>54709200</v>
      </c>
      <c r="E107" s="570">
        <v>57078600</v>
      </c>
      <c r="F107" s="570">
        <f>N107</f>
        <v>56822400</v>
      </c>
      <c r="G107" s="571">
        <f>F107-E107</f>
        <v>-256200</v>
      </c>
      <c r="H107" s="578" t="s">
        <v>7</v>
      </c>
      <c r="I107" s="580"/>
      <c r="J107" s="579"/>
      <c r="K107" s="579"/>
      <c r="L107" s="579"/>
      <c r="M107" s="727"/>
      <c r="N107" s="582">
        <f>SUM(N108:N130)</f>
        <v>56822400</v>
      </c>
    </row>
    <row r="108" spans="1:14" ht="24.95" customHeight="1">
      <c r="A108" s="768"/>
      <c r="B108" s="768"/>
      <c r="C108" s="771"/>
      <c r="D108" s="772"/>
      <c r="E108" s="773"/>
      <c r="F108" s="771"/>
      <c r="G108" s="772"/>
      <c r="H108" s="677" t="s">
        <v>533</v>
      </c>
      <c r="I108" s="633">
        <v>5374000</v>
      </c>
      <c r="J108" s="633">
        <v>1</v>
      </c>
      <c r="K108" s="633" t="s">
        <v>455</v>
      </c>
      <c r="L108" s="633" t="s">
        <v>489</v>
      </c>
      <c r="M108" s="670" t="s">
        <v>33</v>
      </c>
      <c r="N108" s="658">
        <f>I108*1.2</f>
        <v>6448800</v>
      </c>
    </row>
    <row r="109" spans="1:14" ht="24.95" customHeight="1">
      <c r="A109" s="768"/>
      <c r="B109" s="768"/>
      <c r="C109" s="771"/>
      <c r="D109" s="772"/>
      <c r="E109" s="768"/>
      <c r="F109" s="771"/>
      <c r="G109" s="772"/>
      <c r="H109" s="1532" t="s">
        <v>531</v>
      </c>
      <c r="I109" s="591">
        <v>3499000</v>
      </c>
      <c r="J109" s="591">
        <v>1</v>
      </c>
      <c r="K109" s="591" t="s">
        <v>455</v>
      </c>
      <c r="L109" s="591" t="s">
        <v>487</v>
      </c>
      <c r="M109" s="1530" t="s">
        <v>33</v>
      </c>
      <c r="N109" s="679">
        <f>I109*0.6</f>
        <v>2099400</v>
      </c>
    </row>
    <row r="110" spans="1:14" ht="24.95" customHeight="1">
      <c r="A110" s="768"/>
      <c r="B110" s="768"/>
      <c r="C110" s="771"/>
      <c r="D110" s="772"/>
      <c r="E110" s="768"/>
      <c r="F110" s="771"/>
      <c r="G110" s="772"/>
      <c r="H110" s="1533"/>
      <c r="I110" s="595">
        <v>3550000</v>
      </c>
      <c r="J110" s="595">
        <v>1</v>
      </c>
      <c r="K110" s="595" t="s">
        <v>455</v>
      </c>
      <c r="L110" s="595" t="s">
        <v>487</v>
      </c>
      <c r="M110" s="1543"/>
      <c r="N110" s="652">
        <f>I110*0.6</f>
        <v>2130000</v>
      </c>
    </row>
    <row r="111" spans="1:14" ht="24.95" customHeight="1">
      <c r="A111" s="768"/>
      <c r="B111" s="768"/>
      <c r="C111" s="771"/>
      <c r="D111" s="772"/>
      <c r="E111" s="768"/>
      <c r="F111" s="771"/>
      <c r="G111" s="772"/>
      <c r="H111" s="1532" t="s">
        <v>529</v>
      </c>
      <c r="I111" s="585">
        <v>4126000</v>
      </c>
      <c r="J111" s="585">
        <v>1</v>
      </c>
      <c r="K111" s="585" t="s">
        <v>455</v>
      </c>
      <c r="L111" s="585" t="s">
        <v>487</v>
      </c>
      <c r="M111" s="1530" t="s">
        <v>33</v>
      </c>
      <c r="N111" s="655">
        <f t="shared" ref="N111:N114" si="12">I111*0.6</f>
        <v>2475600</v>
      </c>
    </row>
    <row r="112" spans="1:14" ht="24.95" customHeight="1">
      <c r="A112" s="768"/>
      <c r="B112" s="768"/>
      <c r="C112" s="771"/>
      <c r="D112" s="772"/>
      <c r="E112" s="768"/>
      <c r="F112" s="771"/>
      <c r="G112" s="772"/>
      <c r="H112" s="1533"/>
      <c r="I112" s="588">
        <v>4178000</v>
      </c>
      <c r="J112" s="588">
        <v>1</v>
      </c>
      <c r="K112" s="588" t="s">
        <v>455</v>
      </c>
      <c r="L112" s="588" t="s">
        <v>487</v>
      </c>
      <c r="M112" s="1543"/>
      <c r="N112" s="648">
        <f>I112*0.6</f>
        <v>2506800</v>
      </c>
    </row>
    <row r="113" spans="1:14" ht="24.95" customHeight="1">
      <c r="A113" s="768"/>
      <c r="B113" s="768"/>
      <c r="C113" s="771"/>
      <c r="D113" s="772"/>
      <c r="E113" s="768"/>
      <c r="F113" s="771"/>
      <c r="G113" s="772"/>
      <c r="H113" s="1532" t="s">
        <v>529</v>
      </c>
      <c r="I113" s="591">
        <v>3890000</v>
      </c>
      <c r="J113" s="591">
        <v>1</v>
      </c>
      <c r="K113" s="591" t="s">
        <v>455</v>
      </c>
      <c r="L113" s="591" t="s">
        <v>487</v>
      </c>
      <c r="M113" s="1530" t="s">
        <v>33</v>
      </c>
      <c r="N113" s="679">
        <f t="shared" si="12"/>
        <v>2334000</v>
      </c>
    </row>
    <row r="114" spans="1:14" ht="24.95" customHeight="1">
      <c r="A114" s="768"/>
      <c r="B114" s="768"/>
      <c r="C114" s="771"/>
      <c r="D114" s="772"/>
      <c r="E114" s="768"/>
      <c r="F114" s="771"/>
      <c r="G114" s="772"/>
      <c r="H114" s="1533"/>
      <c r="I114" s="595">
        <v>3951000</v>
      </c>
      <c r="J114" s="595">
        <v>1</v>
      </c>
      <c r="K114" s="595" t="s">
        <v>455</v>
      </c>
      <c r="L114" s="595" t="s">
        <v>487</v>
      </c>
      <c r="M114" s="1543"/>
      <c r="N114" s="652">
        <f t="shared" si="12"/>
        <v>2370600</v>
      </c>
    </row>
    <row r="115" spans="1:14" ht="24.95" customHeight="1">
      <c r="A115" s="768"/>
      <c r="B115" s="768"/>
      <c r="C115" s="771"/>
      <c r="D115" s="772"/>
      <c r="E115" s="768"/>
      <c r="F115" s="771"/>
      <c r="G115" s="772"/>
      <c r="H115" s="598" t="s">
        <v>529</v>
      </c>
      <c r="I115" s="600">
        <v>4013000</v>
      </c>
      <c r="J115" s="600">
        <v>1</v>
      </c>
      <c r="K115" s="600" t="s">
        <v>455</v>
      </c>
      <c r="L115" s="600" t="s">
        <v>488</v>
      </c>
      <c r="M115" s="671" t="s">
        <v>33</v>
      </c>
      <c r="N115" s="658">
        <f>I115*1.2</f>
        <v>4815600</v>
      </c>
    </row>
    <row r="116" spans="1:14" ht="24.95" customHeight="1">
      <c r="A116" s="768"/>
      <c r="B116" s="768"/>
      <c r="C116" s="771"/>
      <c r="D116" s="772"/>
      <c r="E116" s="768"/>
      <c r="F116" s="771"/>
      <c r="G116" s="772"/>
      <c r="H116" s="986" t="s">
        <v>535</v>
      </c>
      <c r="I116" s="970">
        <v>2821000</v>
      </c>
      <c r="J116" s="970">
        <v>1</v>
      </c>
      <c r="K116" s="970" t="s">
        <v>455</v>
      </c>
      <c r="L116" s="970" t="s">
        <v>699</v>
      </c>
      <c r="M116" s="987" t="s">
        <v>33</v>
      </c>
      <c r="N116" s="988">
        <f>I116*0.6</f>
        <v>1692600</v>
      </c>
    </row>
    <row r="117" spans="1:14" ht="24.95" customHeight="1">
      <c r="A117" s="768"/>
      <c r="B117" s="768"/>
      <c r="C117" s="771"/>
      <c r="D117" s="772"/>
      <c r="E117" s="768"/>
      <c r="F117" s="771"/>
      <c r="G117" s="772"/>
      <c r="H117" s="1532" t="s">
        <v>535</v>
      </c>
      <c r="I117" s="591">
        <v>2879000</v>
      </c>
      <c r="J117" s="591">
        <v>1</v>
      </c>
      <c r="K117" s="591" t="s">
        <v>455</v>
      </c>
      <c r="L117" s="680" t="s">
        <v>487</v>
      </c>
      <c r="M117" s="1530" t="s">
        <v>33</v>
      </c>
      <c r="N117" s="655">
        <f t="shared" ref="N117:N118" si="13">I117*0.6</f>
        <v>1727400</v>
      </c>
    </row>
    <row r="118" spans="1:14" ht="24.95" customHeight="1">
      <c r="A118" s="768"/>
      <c r="B118" s="768"/>
      <c r="C118" s="771"/>
      <c r="D118" s="772"/>
      <c r="E118" s="768"/>
      <c r="F118" s="771"/>
      <c r="G118" s="772"/>
      <c r="H118" s="1533"/>
      <c r="I118" s="595">
        <v>2953000</v>
      </c>
      <c r="J118" s="595">
        <v>1</v>
      </c>
      <c r="K118" s="595" t="s">
        <v>455</v>
      </c>
      <c r="L118" s="681" t="s">
        <v>487</v>
      </c>
      <c r="M118" s="1543"/>
      <c r="N118" s="648">
        <f t="shared" si="13"/>
        <v>1771800</v>
      </c>
    </row>
    <row r="119" spans="1:14" ht="24.95" customHeight="1">
      <c r="A119" s="768"/>
      <c r="B119" s="768"/>
      <c r="C119" s="771"/>
      <c r="D119" s="772"/>
      <c r="E119" s="768"/>
      <c r="F119" s="771"/>
      <c r="G119" s="772"/>
      <c r="H119" s="653" t="s">
        <v>535</v>
      </c>
      <c r="I119" s="605">
        <v>2953000</v>
      </c>
      <c r="J119" s="605">
        <v>1</v>
      </c>
      <c r="K119" s="605" t="s">
        <v>455</v>
      </c>
      <c r="L119" s="605" t="s">
        <v>488</v>
      </c>
      <c r="M119" s="670" t="s">
        <v>33</v>
      </c>
      <c r="N119" s="658">
        <f>I119*1.2</f>
        <v>3543600</v>
      </c>
    </row>
    <row r="120" spans="1:14" ht="24.95" customHeight="1">
      <c r="A120" s="768"/>
      <c r="B120" s="768"/>
      <c r="C120" s="771"/>
      <c r="D120" s="772"/>
      <c r="E120" s="768"/>
      <c r="F120" s="771"/>
      <c r="G120" s="772"/>
      <c r="H120" s="598" t="s">
        <v>535</v>
      </c>
      <c r="I120" s="600">
        <v>2494000</v>
      </c>
      <c r="J120" s="600">
        <v>1</v>
      </c>
      <c r="K120" s="600" t="s">
        <v>455</v>
      </c>
      <c r="L120" s="600" t="s">
        <v>488</v>
      </c>
      <c r="M120" s="671" t="s">
        <v>33</v>
      </c>
      <c r="N120" s="658">
        <f>I120*1.2</f>
        <v>2992800</v>
      </c>
    </row>
    <row r="121" spans="1:14" ht="24.95" customHeight="1">
      <c r="A121" s="768"/>
      <c r="B121" s="768"/>
      <c r="C121" s="771"/>
      <c r="D121" s="772"/>
      <c r="E121" s="768"/>
      <c r="F121" s="771"/>
      <c r="G121" s="772"/>
      <c r="H121" s="598" t="s">
        <v>535</v>
      </c>
      <c r="I121" s="600">
        <v>2394000</v>
      </c>
      <c r="J121" s="600">
        <v>1</v>
      </c>
      <c r="K121" s="600" t="s">
        <v>455</v>
      </c>
      <c r="L121" s="600" t="s">
        <v>742</v>
      </c>
      <c r="M121" s="671" t="s">
        <v>33</v>
      </c>
      <c r="N121" s="658">
        <f>I121*0.6</f>
        <v>1436400</v>
      </c>
    </row>
    <row r="122" spans="1:14" ht="24.95" customHeight="1">
      <c r="A122" s="768"/>
      <c r="B122" s="768"/>
      <c r="C122" s="771"/>
      <c r="D122" s="772"/>
      <c r="E122" s="768"/>
      <c r="F122" s="771"/>
      <c r="G122" s="772"/>
      <c r="H122" s="1536" t="s">
        <v>545</v>
      </c>
      <c r="I122" s="591">
        <v>2345000</v>
      </c>
      <c r="J122" s="591">
        <v>1</v>
      </c>
      <c r="K122" s="591" t="s">
        <v>584</v>
      </c>
      <c r="L122" s="591" t="s">
        <v>487</v>
      </c>
      <c r="M122" s="665" t="s">
        <v>450</v>
      </c>
      <c r="N122" s="650">
        <f>I122*0.6</f>
        <v>1407000</v>
      </c>
    </row>
    <row r="123" spans="1:14" ht="24.95" customHeight="1">
      <c r="A123" s="768"/>
      <c r="B123" s="768"/>
      <c r="C123" s="771"/>
      <c r="D123" s="772"/>
      <c r="E123" s="768"/>
      <c r="F123" s="771"/>
      <c r="G123" s="772"/>
      <c r="H123" s="1537"/>
      <c r="I123" s="668">
        <v>2370000</v>
      </c>
      <c r="J123" s="668">
        <v>1</v>
      </c>
      <c r="K123" s="668" t="s">
        <v>455</v>
      </c>
      <c r="L123" s="668" t="s">
        <v>487</v>
      </c>
      <c r="M123" s="669" t="s">
        <v>33</v>
      </c>
      <c r="N123" s="854">
        <f>I123*0.6</f>
        <v>1422000</v>
      </c>
    </row>
    <row r="124" spans="1:14" ht="24.95" customHeight="1">
      <c r="A124" s="768"/>
      <c r="B124" s="768"/>
      <c r="C124" s="771"/>
      <c r="D124" s="772"/>
      <c r="E124" s="768"/>
      <c r="F124" s="771"/>
      <c r="G124" s="772"/>
      <c r="H124" s="653" t="s">
        <v>538</v>
      </c>
      <c r="I124" s="605">
        <v>3078000</v>
      </c>
      <c r="J124" s="605">
        <v>1</v>
      </c>
      <c r="K124" s="605" t="s">
        <v>455</v>
      </c>
      <c r="L124" s="605" t="s">
        <v>488</v>
      </c>
      <c r="M124" s="670" t="s">
        <v>33</v>
      </c>
      <c r="N124" s="658">
        <f>I124*1.2</f>
        <v>3693600</v>
      </c>
    </row>
    <row r="125" spans="1:14" ht="24.95" customHeight="1">
      <c r="A125" s="768"/>
      <c r="B125" s="768"/>
      <c r="C125" s="771"/>
      <c r="D125" s="772"/>
      <c r="E125" s="768"/>
      <c r="F125" s="771"/>
      <c r="G125" s="772"/>
      <c r="H125" s="1534" t="s">
        <v>540</v>
      </c>
      <c r="I125" s="591">
        <v>2811000</v>
      </c>
      <c r="J125" s="591">
        <v>1</v>
      </c>
      <c r="K125" s="591" t="s">
        <v>455</v>
      </c>
      <c r="L125" s="680" t="s">
        <v>487</v>
      </c>
      <c r="M125" s="665" t="s">
        <v>33</v>
      </c>
      <c r="N125" s="655">
        <f t="shared" ref="N125:N128" si="14">I125*0.6</f>
        <v>1686600</v>
      </c>
    </row>
    <row r="126" spans="1:14" ht="24.95" customHeight="1">
      <c r="A126" s="768"/>
      <c r="B126" s="768"/>
      <c r="C126" s="771"/>
      <c r="D126" s="772"/>
      <c r="E126" s="768"/>
      <c r="F126" s="771"/>
      <c r="G126" s="772"/>
      <c r="H126" s="1535"/>
      <c r="I126" s="595">
        <v>2864000</v>
      </c>
      <c r="J126" s="595">
        <v>1</v>
      </c>
      <c r="K126" s="595" t="s">
        <v>455</v>
      </c>
      <c r="L126" s="681" t="s">
        <v>487</v>
      </c>
      <c r="M126" s="669" t="s">
        <v>33</v>
      </c>
      <c r="N126" s="652">
        <f t="shared" si="14"/>
        <v>1718400</v>
      </c>
    </row>
    <row r="127" spans="1:14" ht="24.95" customHeight="1">
      <c r="A127" s="768"/>
      <c r="B127" s="768"/>
      <c r="C127" s="771"/>
      <c r="D127" s="772"/>
      <c r="E127" s="768"/>
      <c r="F127" s="771"/>
      <c r="G127" s="772"/>
      <c r="H127" s="1532" t="s">
        <v>543</v>
      </c>
      <c r="I127" s="591">
        <v>2346000</v>
      </c>
      <c r="J127" s="591">
        <v>1</v>
      </c>
      <c r="K127" s="591" t="s">
        <v>455</v>
      </c>
      <c r="L127" s="680" t="s">
        <v>487</v>
      </c>
      <c r="M127" s="1530" t="s">
        <v>33</v>
      </c>
      <c r="N127" s="655">
        <f t="shared" si="14"/>
        <v>1407600</v>
      </c>
    </row>
    <row r="128" spans="1:14" ht="24.95" customHeight="1">
      <c r="A128" s="768"/>
      <c r="B128" s="768"/>
      <c r="C128" s="771"/>
      <c r="D128" s="772"/>
      <c r="E128" s="768"/>
      <c r="F128" s="771"/>
      <c r="G128" s="772"/>
      <c r="H128" s="1533"/>
      <c r="I128" s="595">
        <v>2371000</v>
      </c>
      <c r="J128" s="595">
        <v>1</v>
      </c>
      <c r="K128" s="595" t="s">
        <v>455</v>
      </c>
      <c r="L128" s="681" t="s">
        <v>487</v>
      </c>
      <c r="M128" s="1543"/>
      <c r="N128" s="648">
        <f t="shared" si="14"/>
        <v>1422600</v>
      </c>
    </row>
    <row r="129" spans="1:18" ht="24.95" customHeight="1">
      <c r="A129" s="768"/>
      <c r="B129" s="768"/>
      <c r="C129" s="771"/>
      <c r="D129" s="772"/>
      <c r="E129" s="768"/>
      <c r="F129" s="771"/>
      <c r="G129" s="772"/>
      <c r="H129" s="608" t="s">
        <v>542</v>
      </c>
      <c r="I129" s="600">
        <v>2346000</v>
      </c>
      <c r="J129" s="600">
        <v>1</v>
      </c>
      <c r="K129" s="600" t="s">
        <v>455</v>
      </c>
      <c r="L129" s="600" t="s">
        <v>488</v>
      </c>
      <c r="M129" s="671" t="s">
        <v>33</v>
      </c>
      <c r="N129" s="658">
        <f>I129*1.2</f>
        <v>2815200</v>
      </c>
    </row>
    <row r="130" spans="1:18" ht="24.95" customHeight="1" thickBot="1">
      <c r="A130" s="768"/>
      <c r="B130" s="768"/>
      <c r="C130" s="771"/>
      <c r="D130" s="772"/>
      <c r="E130" s="768"/>
      <c r="F130" s="771"/>
      <c r="G130" s="772"/>
      <c r="H130" s="609" t="s">
        <v>544</v>
      </c>
      <c r="I130" s="611">
        <v>2420000</v>
      </c>
      <c r="J130" s="611">
        <v>1</v>
      </c>
      <c r="K130" s="611" t="s">
        <v>455</v>
      </c>
      <c r="L130" s="611" t="s">
        <v>488</v>
      </c>
      <c r="M130" s="666" t="s">
        <v>33</v>
      </c>
      <c r="N130" s="658">
        <f>I130*1.2</f>
        <v>2904000</v>
      </c>
    </row>
    <row r="131" spans="1:18" ht="19.5" thickBot="1">
      <c r="A131" s="768"/>
      <c r="B131" s="768"/>
      <c r="C131" s="772"/>
      <c r="D131" s="766">
        <v>2400000</v>
      </c>
      <c r="E131" s="570">
        <v>2400000</v>
      </c>
      <c r="F131" s="570">
        <f>N131</f>
        <v>2400000</v>
      </c>
      <c r="G131" s="571">
        <f>F131-E131</f>
        <v>0</v>
      </c>
      <c r="H131" s="578" t="s">
        <v>8</v>
      </c>
      <c r="I131" s="580"/>
      <c r="J131" s="579"/>
      <c r="K131" s="579"/>
      <c r="L131" s="579"/>
      <c r="M131" s="727"/>
      <c r="N131" s="582">
        <f>SUM(N132)</f>
        <v>2400000</v>
      </c>
    </row>
    <row r="132" spans="1:18" ht="24.95" customHeight="1" thickBot="1">
      <c r="A132" s="768"/>
      <c r="B132" s="768"/>
      <c r="C132" s="771"/>
      <c r="D132" s="772"/>
      <c r="E132" s="768"/>
      <c r="F132" s="768"/>
      <c r="G132" s="772"/>
      <c r="H132" s="683" t="s">
        <v>10</v>
      </c>
      <c r="I132" s="685">
        <v>200000</v>
      </c>
      <c r="J132" s="684">
        <v>12</v>
      </c>
      <c r="K132" s="685" t="s">
        <v>453</v>
      </c>
      <c r="L132" s="685"/>
      <c r="M132" s="686" t="s">
        <v>33</v>
      </c>
      <c r="N132" s="678">
        <v>2400000</v>
      </c>
    </row>
    <row r="133" spans="1:18" ht="24.95" customHeight="1" thickBot="1">
      <c r="A133" s="768"/>
      <c r="B133" s="768"/>
      <c r="C133" s="772"/>
      <c r="D133" s="766">
        <v>5500000</v>
      </c>
      <c r="E133" s="570">
        <v>5500000</v>
      </c>
      <c r="F133" s="570">
        <f>N133</f>
        <v>5650000</v>
      </c>
      <c r="G133" s="570">
        <f>F133-E133</f>
        <v>150000</v>
      </c>
      <c r="H133" s="661" t="s">
        <v>9</v>
      </c>
      <c r="I133" s="662"/>
      <c r="J133" s="663"/>
      <c r="K133" s="663"/>
      <c r="L133" s="663"/>
      <c r="M133" s="815"/>
      <c r="N133" s="582">
        <f>SUM(N134:N135)</f>
        <v>5650000</v>
      </c>
    </row>
    <row r="134" spans="1:18" ht="24.6" customHeight="1">
      <c r="A134" s="768"/>
      <c r="B134" s="768"/>
      <c r="C134" s="771"/>
      <c r="D134" s="772"/>
      <c r="E134" s="773"/>
      <c r="F134" s="773"/>
      <c r="G134" s="772"/>
      <c r="H134" s="687" t="s">
        <v>104</v>
      </c>
      <c r="I134" s="688">
        <v>400000</v>
      </c>
      <c r="J134" s="688">
        <v>10</v>
      </c>
      <c r="K134" s="688" t="s">
        <v>490</v>
      </c>
      <c r="L134" s="689"/>
      <c r="M134" s="690" t="s">
        <v>33</v>
      </c>
      <c r="N134" s="646">
        <v>4000000</v>
      </c>
      <c r="R134" s="560"/>
    </row>
    <row r="135" spans="1:18" ht="24.6" customHeight="1" thickBot="1">
      <c r="A135" s="768"/>
      <c r="B135" s="768"/>
      <c r="C135" s="771"/>
      <c r="D135" s="772"/>
      <c r="E135" s="774"/>
      <c r="F135" s="774"/>
      <c r="G135" s="772"/>
      <c r="H135" s="691" t="s">
        <v>443</v>
      </c>
      <c r="I135" s="692">
        <v>300000</v>
      </c>
      <c r="J135" s="692">
        <v>6</v>
      </c>
      <c r="K135" s="692" t="s">
        <v>490</v>
      </c>
      <c r="L135" s="638" t="s">
        <v>702</v>
      </c>
      <c r="M135" s="641" t="s">
        <v>33</v>
      </c>
      <c r="N135" s="655">
        <v>1650000</v>
      </c>
    </row>
    <row r="136" spans="1:18" ht="19.5" thickBot="1">
      <c r="A136" s="768"/>
      <c r="B136" s="768"/>
      <c r="C136" s="772"/>
      <c r="D136" s="766">
        <v>57231150</v>
      </c>
      <c r="E136" s="570">
        <v>59716410</v>
      </c>
      <c r="F136" s="570">
        <f>N136</f>
        <v>61239500</v>
      </c>
      <c r="G136" s="571">
        <f>F136-E136</f>
        <v>1523090</v>
      </c>
      <c r="H136" s="578" t="s">
        <v>108</v>
      </c>
      <c r="I136" s="580"/>
      <c r="J136" s="579"/>
      <c r="K136" s="579"/>
      <c r="L136" s="579"/>
      <c r="M136" s="727"/>
      <c r="N136" s="582">
        <f>SUM(N137:N152)</f>
        <v>61239500</v>
      </c>
      <c r="Q136" s="560"/>
    </row>
    <row r="137" spans="1:18" ht="24.95" customHeight="1">
      <c r="A137" s="768"/>
      <c r="B137" s="768"/>
      <c r="C137" s="771"/>
      <c r="D137" s="772"/>
      <c r="E137" s="773"/>
      <c r="F137" s="771"/>
      <c r="G137" s="772"/>
      <c r="H137" s="693" t="s">
        <v>533</v>
      </c>
      <c r="I137" s="585">
        <v>75606800</v>
      </c>
      <c r="J137" s="694">
        <v>12</v>
      </c>
      <c r="K137" s="584" t="s">
        <v>464</v>
      </c>
      <c r="L137" s="695">
        <v>8.3299999999999999E-2</v>
      </c>
      <c r="M137" s="666" t="s">
        <v>33</v>
      </c>
      <c r="N137" s="682">
        <v>6298060</v>
      </c>
    </row>
    <row r="138" spans="1:18" ht="24.95" customHeight="1">
      <c r="A138" s="768"/>
      <c r="B138" s="768"/>
      <c r="C138" s="771"/>
      <c r="D138" s="772"/>
      <c r="E138" s="768"/>
      <c r="F138" s="771"/>
      <c r="G138" s="772"/>
      <c r="H138" s="696" t="s">
        <v>531</v>
      </c>
      <c r="I138" s="674">
        <v>52841010</v>
      </c>
      <c r="J138" s="697">
        <v>12</v>
      </c>
      <c r="K138" s="673" t="s">
        <v>464</v>
      </c>
      <c r="L138" s="698">
        <v>8.3299999999999999E-2</v>
      </c>
      <c r="M138" s="699" t="s">
        <v>33</v>
      </c>
      <c r="N138" s="700">
        <v>4401650</v>
      </c>
    </row>
    <row r="139" spans="1:18" ht="24.95" customHeight="1">
      <c r="A139" s="768"/>
      <c r="B139" s="768"/>
      <c r="C139" s="771"/>
      <c r="D139" s="772"/>
      <c r="E139" s="768"/>
      <c r="F139" s="771"/>
      <c r="G139" s="772"/>
      <c r="H139" s="696" t="s">
        <v>529</v>
      </c>
      <c r="I139" s="674">
        <v>61765200</v>
      </c>
      <c r="J139" s="697">
        <v>12</v>
      </c>
      <c r="K139" s="673" t="s">
        <v>464</v>
      </c>
      <c r="L139" s="698">
        <v>8.3299999999999999E-2</v>
      </c>
      <c r="M139" s="699" t="s">
        <v>33</v>
      </c>
      <c r="N139" s="700">
        <v>5145070</v>
      </c>
    </row>
    <row r="140" spans="1:18" ht="24.95" customHeight="1">
      <c r="A140" s="768"/>
      <c r="B140" s="768"/>
      <c r="C140" s="771"/>
      <c r="D140" s="772"/>
      <c r="E140" s="768"/>
      <c r="F140" s="771"/>
      <c r="G140" s="772"/>
      <c r="H140" s="696" t="s">
        <v>529</v>
      </c>
      <c r="I140" s="674">
        <v>59115160</v>
      </c>
      <c r="J140" s="697">
        <v>12</v>
      </c>
      <c r="K140" s="673" t="s">
        <v>464</v>
      </c>
      <c r="L140" s="698">
        <v>8.3299999999999999E-2</v>
      </c>
      <c r="M140" s="699" t="s">
        <v>33</v>
      </c>
      <c r="N140" s="700">
        <v>4924260</v>
      </c>
    </row>
    <row r="141" spans="1:18" ht="24.95" customHeight="1">
      <c r="A141" s="768"/>
      <c r="B141" s="768"/>
      <c r="C141" s="771"/>
      <c r="D141" s="772"/>
      <c r="E141" s="768"/>
      <c r="F141" s="771"/>
      <c r="G141" s="772"/>
      <c r="H141" s="696" t="s">
        <v>529</v>
      </c>
      <c r="I141" s="674">
        <v>60654010</v>
      </c>
      <c r="J141" s="697">
        <v>12</v>
      </c>
      <c r="K141" s="673" t="s">
        <v>464</v>
      </c>
      <c r="L141" s="698">
        <v>8.3299999999999999E-2</v>
      </c>
      <c r="M141" s="699" t="s">
        <v>33</v>
      </c>
      <c r="N141" s="700">
        <v>5052440</v>
      </c>
    </row>
    <row r="142" spans="1:18" ht="24.95" customHeight="1">
      <c r="A142" s="768"/>
      <c r="B142" s="768"/>
      <c r="C142" s="771"/>
      <c r="D142" s="772"/>
      <c r="E142" s="768"/>
      <c r="F142" s="771"/>
      <c r="G142" s="772"/>
      <c r="H142" s="979" t="s">
        <v>535</v>
      </c>
      <c r="I142" s="980">
        <v>15883040</v>
      </c>
      <c r="J142" s="981">
        <v>12</v>
      </c>
      <c r="K142" s="982" t="s">
        <v>464</v>
      </c>
      <c r="L142" s="983" t="s">
        <v>698</v>
      </c>
      <c r="M142" s="984" t="s">
        <v>33</v>
      </c>
      <c r="N142" s="985">
        <v>3828220</v>
      </c>
    </row>
    <row r="143" spans="1:18" ht="24.95" customHeight="1">
      <c r="A143" s="768"/>
      <c r="B143" s="768"/>
      <c r="C143" s="771"/>
      <c r="D143" s="772"/>
      <c r="E143" s="768"/>
      <c r="F143" s="771"/>
      <c r="G143" s="772"/>
      <c r="H143" s="696" t="s">
        <v>535</v>
      </c>
      <c r="I143" s="674">
        <v>44017160</v>
      </c>
      <c r="J143" s="697">
        <v>12</v>
      </c>
      <c r="K143" s="673" t="s">
        <v>464</v>
      </c>
      <c r="L143" s="698">
        <v>8.3299999999999999E-2</v>
      </c>
      <c r="M143" s="699" t="s">
        <v>33</v>
      </c>
      <c r="N143" s="700">
        <v>3666640</v>
      </c>
    </row>
    <row r="144" spans="1:18" ht="24.95" customHeight="1">
      <c r="A144" s="768"/>
      <c r="B144" s="768"/>
      <c r="C144" s="771"/>
      <c r="D144" s="772"/>
      <c r="E144" s="768"/>
      <c r="F144" s="771"/>
      <c r="G144" s="772"/>
      <c r="H144" s="696" t="s">
        <v>535</v>
      </c>
      <c r="I144" s="674">
        <v>44555580</v>
      </c>
      <c r="J144" s="697">
        <v>12</v>
      </c>
      <c r="K144" s="673" t="s">
        <v>464</v>
      </c>
      <c r="L144" s="698">
        <v>8.3299999999999999E-2</v>
      </c>
      <c r="M144" s="699" t="s">
        <v>33</v>
      </c>
      <c r="N144" s="700">
        <v>3711500</v>
      </c>
    </row>
    <row r="145" spans="1:18" ht="24.95" customHeight="1">
      <c r="A145" s="768"/>
      <c r="B145" s="768"/>
      <c r="C145" s="771"/>
      <c r="D145" s="772"/>
      <c r="E145" s="768"/>
      <c r="F145" s="771"/>
      <c r="G145" s="772"/>
      <c r="H145" s="696" t="s">
        <v>536</v>
      </c>
      <c r="I145" s="674">
        <v>38805220</v>
      </c>
      <c r="J145" s="697">
        <v>12</v>
      </c>
      <c r="K145" s="673" t="s">
        <v>464</v>
      </c>
      <c r="L145" s="698">
        <v>8.3299999999999999E-2</v>
      </c>
      <c r="M145" s="699" t="s">
        <v>33</v>
      </c>
      <c r="N145" s="700">
        <v>3232450</v>
      </c>
    </row>
    <row r="146" spans="1:18" ht="24.95" customHeight="1">
      <c r="A146" s="768"/>
      <c r="B146" s="768"/>
      <c r="C146" s="771"/>
      <c r="D146" s="772"/>
      <c r="E146" s="768"/>
      <c r="F146" s="771"/>
      <c r="G146" s="772"/>
      <c r="H146" s="696" t="s">
        <v>536</v>
      </c>
      <c r="I146" s="674">
        <v>18384240</v>
      </c>
      <c r="J146" s="697">
        <v>6</v>
      </c>
      <c r="K146" s="673" t="s">
        <v>464</v>
      </c>
      <c r="L146" s="698">
        <v>8.3299999999999999E-2</v>
      </c>
      <c r="M146" s="699" t="s">
        <v>33</v>
      </c>
      <c r="N146" s="700">
        <v>1531390</v>
      </c>
    </row>
    <row r="147" spans="1:18" ht="24.95" customHeight="1">
      <c r="A147" s="768"/>
      <c r="B147" s="768"/>
      <c r="C147" s="771"/>
      <c r="D147" s="772"/>
      <c r="E147" s="768"/>
      <c r="F147" s="771"/>
      <c r="G147" s="772"/>
      <c r="H147" s="696" t="s">
        <v>545</v>
      </c>
      <c r="I147" s="674">
        <v>34835583.741935484</v>
      </c>
      <c r="J147" s="697">
        <v>12</v>
      </c>
      <c r="K147" s="673" t="s">
        <v>464</v>
      </c>
      <c r="L147" s="698">
        <v>8.3299999999999999E-2</v>
      </c>
      <c r="M147" s="699" t="s">
        <v>33</v>
      </c>
      <c r="N147" s="700">
        <v>2901790</v>
      </c>
    </row>
    <row r="148" spans="1:18" ht="24.95" customHeight="1">
      <c r="A148" s="768"/>
      <c r="B148" s="768"/>
      <c r="C148" s="771"/>
      <c r="D148" s="772"/>
      <c r="E148" s="768"/>
      <c r="F148" s="771"/>
      <c r="G148" s="772"/>
      <c r="H148" s="696" t="s">
        <v>538</v>
      </c>
      <c r="I148" s="674">
        <v>46440960</v>
      </c>
      <c r="J148" s="697">
        <v>12</v>
      </c>
      <c r="K148" s="673" t="s">
        <v>464</v>
      </c>
      <c r="L148" s="698">
        <v>8.3299999999999999E-2</v>
      </c>
      <c r="M148" s="699" t="s">
        <v>33</v>
      </c>
      <c r="N148" s="700">
        <v>3868560</v>
      </c>
    </row>
    <row r="149" spans="1:18" ht="24.95" customHeight="1">
      <c r="A149" s="768"/>
      <c r="B149" s="768"/>
      <c r="C149" s="771"/>
      <c r="D149" s="772"/>
      <c r="E149" s="768"/>
      <c r="F149" s="771"/>
      <c r="G149" s="772"/>
      <c r="H149" s="701" t="s">
        <v>540</v>
      </c>
      <c r="I149" s="674">
        <v>43494330</v>
      </c>
      <c r="J149" s="697">
        <v>12</v>
      </c>
      <c r="K149" s="673" t="s">
        <v>464</v>
      </c>
      <c r="L149" s="698">
        <v>8.3299999999999999E-2</v>
      </c>
      <c r="M149" s="699" t="s">
        <v>33</v>
      </c>
      <c r="N149" s="700">
        <v>3623040</v>
      </c>
    </row>
    <row r="150" spans="1:18" ht="24.75" customHeight="1">
      <c r="A150" s="768"/>
      <c r="B150" s="768"/>
      <c r="C150" s="771"/>
      <c r="D150" s="772"/>
      <c r="E150" s="768"/>
      <c r="F150" s="771"/>
      <c r="G150" s="772"/>
      <c r="H150" s="696" t="s">
        <v>542</v>
      </c>
      <c r="I150" s="674">
        <v>35718600</v>
      </c>
      <c r="J150" s="697">
        <v>12</v>
      </c>
      <c r="K150" s="673" t="s">
        <v>464</v>
      </c>
      <c r="L150" s="698">
        <v>8.3299999999999999E-2</v>
      </c>
      <c r="M150" s="699" t="s">
        <v>33</v>
      </c>
      <c r="N150" s="700">
        <v>2975350</v>
      </c>
    </row>
    <row r="151" spans="1:18" ht="24.95" customHeight="1">
      <c r="A151" s="768"/>
      <c r="B151" s="768"/>
      <c r="C151" s="771"/>
      <c r="D151" s="772"/>
      <c r="E151" s="768"/>
      <c r="F151" s="771"/>
      <c r="G151" s="772"/>
      <c r="H151" s="696" t="s">
        <v>542</v>
      </c>
      <c r="I151" s="674">
        <v>35592840</v>
      </c>
      <c r="J151" s="697">
        <v>12</v>
      </c>
      <c r="K151" s="673" t="s">
        <v>464</v>
      </c>
      <c r="L151" s="698">
        <v>8.3299999999999999E-2</v>
      </c>
      <c r="M151" s="699" t="s">
        <v>33</v>
      </c>
      <c r="N151" s="700">
        <v>2964860</v>
      </c>
    </row>
    <row r="152" spans="1:18" ht="24.95" customHeight="1" thickBot="1">
      <c r="A152" s="768"/>
      <c r="B152" s="768"/>
      <c r="C152" s="771"/>
      <c r="D152" s="772"/>
      <c r="E152" s="774"/>
      <c r="F152" s="771"/>
      <c r="G152" s="772"/>
      <c r="H152" s="702" t="s">
        <v>544</v>
      </c>
      <c r="I152" s="640">
        <v>37385280</v>
      </c>
      <c r="J152" s="697">
        <v>12</v>
      </c>
      <c r="K152" s="673" t="s">
        <v>464</v>
      </c>
      <c r="L152" s="703">
        <v>8.3299999999999999E-2</v>
      </c>
      <c r="M152" s="704" t="s">
        <v>33</v>
      </c>
      <c r="N152" s="700">
        <v>3114220</v>
      </c>
    </row>
    <row r="153" spans="1:18" ht="15" customHeight="1" thickBot="1">
      <c r="A153" s="768"/>
      <c r="B153" s="768"/>
      <c r="C153" s="771"/>
      <c r="D153" s="766">
        <v>70017230</v>
      </c>
      <c r="E153" s="570">
        <v>76333060</v>
      </c>
      <c r="F153" s="570">
        <f>N153</f>
        <v>68470990</v>
      </c>
      <c r="G153" s="570">
        <f>F153-E153</f>
        <v>-7862070</v>
      </c>
      <c r="H153" s="614" t="s">
        <v>25</v>
      </c>
      <c r="I153" s="720"/>
      <c r="J153" s="615"/>
      <c r="K153" s="615"/>
      <c r="L153" s="615"/>
      <c r="M153" s="816"/>
      <c r="N153" s="719">
        <f>SUM(N154:N158)</f>
        <v>68470990</v>
      </c>
      <c r="P153" s="1024">
        <v>68611980</v>
      </c>
    </row>
    <row r="154" spans="1:18" ht="24.6" customHeight="1">
      <c r="A154" s="768"/>
      <c r="B154" s="768"/>
      <c r="C154" s="771"/>
      <c r="D154" s="772"/>
      <c r="E154" s="773"/>
      <c r="F154" s="773"/>
      <c r="G154" s="768"/>
      <c r="H154" s="705" t="s">
        <v>109</v>
      </c>
      <c r="I154" s="722">
        <v>683789210</v>
      </c>
      <c r="J154" s="706">
        <v>12</v>
      </c>
      <c r="K154" s="707" t="s">
        <v>464</v>
      </c>
      <c r="L154" s="708">
        <v>4.4999999999999998E-2</v>
      </c>
      <c r="M154" s="709" t="s">
        <v>33</v>
      </c>
      <c r="N154" s="710">
        <v>27987690</v>
      </c>
      <c r="P154" s="1025">
        <v>30770510</v>
      </c>
      <c r="Q154" s="1421">
        <f>P154/$P$159</f>
        <v>0.4087521456807291</v>
      </c>
      <c r="R154" s="1422">
        <f>ROUND(140990*Q154,-1)</f>
        <v>57630</v>
      </c>
    </row>
    <row r="155" spans="1:18" ht="24" customHeight="1">
      <c r="A155" s="768"/>
      <c r="B155" s="768"/>
      <c r="C155" s="771"/>
      <c r="D155" s="772"/>
      <c r="E155" s="768"/>
      <c r="F155" s="768"/>
      <c r="G155" s="768"/>
      <c r="H155" s="598" t="s">
        <v>527</v>
      </c>
      <c r="I155" s="915">
        <v>683789210</v>
      </c>
      <c r="J155" s="711">
        <v>12</v>
      </c>
      <c r="K155" s="712" t="s">
        <v>464</v>
      </c>
      <c r="L155" s="855">
        <v>3.5450000000000002E-2</v>
      </c>
      <c r="M155" s="671" t="s">
        <v>33</v>
      </c>
      <c r="N155" s="658">
        <v>22048080</v>
      </c>
      <c r="P155" s="1025">
        <v>24240330</v>
      </c>
      <c r="Q155" s="1421">
        <f t="shared" ref="Q155:Q158" si="15">P155/$P$159</f>
        <v>0.32200593683721679</v>
      </c>
      <c r="R155" s="1422">
        <f t="shared" ref="R155:R158" si="16">ROUND(140990*Q155,-1)</f>
        <v>45400</v>
      </c>
    </row>
    <row r="156" spans="1:18" ht="24" customHeight="1">
      <c r="A156" s="768"/>
      <c r="B156" s="768"/>
      <c r="C156" s="771"/>
      <c r="D156" s="772"/>
      <c r="E156" s="768"/>
      <c r="F156" s="768"/>
      <c r="G156" s="768"/>
      <c r="H156" s="608" t="s">
        <v>460</v>
      </c>
      <c r="I156" s="915">
        <f>N155</f>
        <v>22048080</v>
      </c>
      <c r="J156" s="711">
        <v>12</v>
      </c>
      <c r="K156" s="712" t="s">
        <v>464</v>
      </c>
      <c r="L156" s="713">
        <v>0.12809999999999999</v>
      </c>
      <c r="M156" s="671" t="s">
        <v>33</v>
      </c>
      <c r="N156" s="658">
        <v>2824360</v>
      </c>
      <c r="P156" s="1025">
        <v>3105190</v>
      </c>
      <c r="Q156" s="1421">
        <f t="shared" si="15"/>
        <v>4.1249010017914658E-2</v>
      </c>
      <c r="R156" s="1422">
        <f t="shared" si="16"/>
        <v>5820</v>
      </c>
    </row>
    <row r="157" spans="1:18" ht="24" customHeight="1">
      <c r="A157" s="768"/>
      <c r="B157" s="768"/>
      <c r="C157" s="771"/>
      <c r="D157" s="772"/>
      <c r="E157" s="768"/>
      <c r="F157" s="768"/>
      <c r="G157" s="768"/>
      <c r="H157" s="852" t="s">
        <v>111</v>
      </c>
      <c r="I157" s="916">
        <v>683789210</v>
      </c>
      <c r="J157" s="856">
        <v>12</v>
      </c>
      <c r="K157" s="857" t="s">
        <v>464</v>
      </c>
      <c r="L157" s="858">
        <v>1.7500000000000002E-2</v>
      </c>
      <c r="M157" s="669" t="s">
        <v>33</v>
      </c>
      <c r="N157" s="658">
        <v>10884090</v>
      </c>
      <c r="P157" s="1025">
        <v>11966310</v>
      </c>
      <c r="Q157" s="1421">
        <f t="shared" si="15"/>
        <v>0.15895917514466823</v>
      </c>
      <c r="R157" s="1422">
        <f t="shared" si="16"/>
        <v>22410</v>
      </c>
    </row>
    <row r="158" spans="1:18" ht="24.6" customHeight="1" thickBot="1">
      <c r="A158" s="768"/>
      <c r="B158" s="768"/>
      <c r="C158" s="768"/>
      <c r="D158" s="775"/>
      <c r="E158" s="774"/>
      <c r="F158" s="774"/>
      <c r="G158" s="768"/>
      <c r="H158" s="609" t="s">
        <v>112</v>
      </c>
      <c r="I158" s="917">
        <v>683789210</v>
      </c>
      <c r="J158" s="714">
        <v>12</v>
      </c>
      <c r="K158" s="715" t="s">
        <v>464</v>
      </c>
      <c r="L158" s="716">
        <v>7.6E-3</v>
      </c>
      <c r="M158" s="666" t="s">
        <v>33</v>
      </c>
      <c r="N158" s="658">
        <v>4726770</v>
      </c>
      <c r="P158" s="1025">
        <v>5196800</v>
      </c>
      <c r="Q158" s="1421">
        <f t="shared" si="15"/>
        <v>6.9033732319471242E-2</v>
      </c>
      <c r="R158" s="1422">
        <f t="shared" si="16"/>
        <v>9730</v>
      </c>
    </row>
    <row r="159" spans="1:18" ht="19.5" thickBot="1">
      <c r="A159" s="768"/>
      <c r="B159" s="768"/>
      <c r="C159" s="570" t="s">
        <v>188</v>
      </c>
      <c r="D159" s="766">
        <v>79344000</v>
      </c>
      <c r="E159" s="570">
        <v>81041250</v>
      </c>
      <c r="F159" s="570">
        <f>N159</f>
        <v>75272140</v>
      </c>
      <c r="G159" s="570">
        <f>F159-E159</f>
        <v>-5769110</v>
      </c>
      <c r="H159" s="578" t="s">
        <v>188</v>
      </c>
      <c r="I159" s="580"/>
      <c r="J159" s="579"/>
      <c r="K159" s="579"/>
      <c r="L159" s="579"/>
      <c r="M159" s="727"/>
      <c r="N159" s="582">
        <f>SUM(N160:N163)</f>
        <v>75272140</v>
      </c>
      <c r="P159" s="1025">
        <f>SUM(P154:P158)</f>
        <v>75279140</v>
      </c>
    </row>
    <row r="160" spans="1:18" ht="48.75" customHeight="1">
      <c r="A160" s="768"/>
      <c r="B160" s="768"/>
      <c r="C160" s="768"/>
      <c r="D160" s="775"/>
      <c r="E160" s="773"/>
      <c r="F160" s="768"/>
      <c r="G160" s="772"/>
      <c r="H160" s="721" t="s">
        <v>499</v>
      </c>
      <c r="I160" s="643">
        <f>13488480+12000000</f>
        <v>25488480</v>
      </c>
      <c r="J160" s="817" t="s">
        <v>510</v>
      </c>
      <c r="K160" s="643" t="s">
        <v>507</v>
      </c>
      <c r="L160" s="643" t="s">
        <v>652</v>
      </c>
      <c r="M160" s="699" t="s">
        <v>33</v>
      </c>
      <c r="N160" s="646">
        <f>I160</f>
        <v>25488480</v>
      </c>
    </row>
    <row r="161" spans="1:14" ht="48.75" customHeight="1">
      <c r="A161" s="768"/>
      <c r="B161" s="768"/>
      <c r="C161" s="768"/>
      <c r="D161" s="775"/>
      <c r="E161" s="768"/>
      <c r="F161" s="768"/>
      <c r="G161" s="772"/>
      <c r="H161" s="696" t="s">
        <v>500</v>
      </c>
      <c r="I161" s="674">
        <v>14854770</v>
      </c>
      <c r="J161" s="818" t="s">
        <v>509</v>
      </c>
      <c r="K161" s="674" t="s">
        <v>507</v>
      </c>
      <c r="L161" s="674" t="s">
        <v>653</v>
      </c>
      <c r="M161" s="699" t="s">
        <v>33</v>
      </c>
      <c r="N161" s="723">
        <f>I161</f>
        <v>14854770</v>
      </c>
    </row>
    <row r="162" spans="1:14" ht="48.75" customHeight="1">
      <c r="A162" s="768"/>
      <c r="B162" s="768"/>
      <c r="C162" s="768"/>
      <c r="D162" s="775"/>
      <c r="E162" s="768"/>
      <c r="F162" s="768"/>
      <c r="G162" s="772"/>
      <c r="H162" s="696" t="s">
        <v>501</v>
      </c>
      <c r="I162" s="674">
        <v>17075710</v>
      </c>
      <c r="J162" s="818" t="s">
        <v>511</v>
      </c>
      <c r="K162" s="674" t="s">
        <v>507</v>
      </c>
      <c r="L162" s="674" t="s">
        <v>705</v>
      </c>
      <c r="M162" s="699" t="s">
        <v>33</v>
      </c>
      <c r="N162" s="723">
        <f>I162</f>
        <v>17075710</v>
      </c>
    </row>
    <row r="163" spans="1:14" ht="48.75" customHeight="1" thickBot="1">
      <c r="A163" s="768"/>
      <c r="B163" s="768"/>
      <c r="C163" s="768"/>
      <c r="D163" s="775"/>
      <c r="E163" s="774"/>
      <c r="F163" s="774"/>
      <c r="G163" s="772"/>
      <c r="H163" s="702" t="s">
        <v>502</v>
      </c>
      <c r="I163" s="674">
        <v>17853180</v>
      </c>
      <c r="J163" s="818" t="s">
        <v>508</v>
      </c>
      <c r="K163" s="640" t="s">
        <v>507</v>
      </c>
      <c r="L163" s="640" t="s">
        <v>703</v>
      </c>
      <c r="M163" s="699" t="s">
        <v>33</v>
      </c>
      <c r="N163" s="723">
        <f>I163</f>
        <v>17853180</v>
      </c>
    </row>
    <row r="164" spans="1:14" ht="19.5" thickBot="1">
      <c r="A164" s="768"/>
      <c r="B164" s="768"/>
      <c r="C164" s="570" t="s">
        <v>113</v>
      </c>
      <c r="D164" s="766">
        <v>370040000</v>
      </c>
      <c r="E164" s="766">
        <v>304236000</v>
      </c>
      <c r="F164" s="570">
        <f>N164</f>
        <v>237320800</v>
      </c>
      <c r="G164" s="571">
        <f>F164-E164</f>
        <v>-66915200</v>
      </c>
      <c r="H164" s="578" t="s">
        <v>113</v>
      </c>
      <c r="I164" s="580"/>
      <c r="J164" s="579"/>
      <c r="K164" s="579"/>
      <c r="L164" s="579"/>
      <c r="M164" s="727"/>
      <c r="N164" s="582">
        <f>SUM(N165:N172)</f>
        <v>237320800</v>
      </c>
    </row>
    <row r="165" spans="1:14" ht="24" customHeight="1">
      <c r="A165" s="768"/>
      <c r="B165" s="768"/>
      <c r="C165" s="768"/>
      <c r="D165" s="775"/>
      <c r="E165" s="768"/>
      <c r="F165" s="772"/>
      <c r="G165" s="773"/>
      <c r="H165" s="721" t="s">
        <v>503</v>
      </c>
      <c r="I165" s="643">
        <v>57664000</v>
      </c>
      <c r="J165" s="817" t="s">
        <v>510</v>
      </c>
      <c r="K165" s="643" t="s">
        <v>507</v>
      </c>
      <c r="L165" s="643" t="s">
        <v>512</v>
      </c>
      <c r="M165" s="859" t="s">
        <v>33</v>
      </c>
      <c r="N165" s="819">
        <f>I165</f>
        <v>57664000</v>
      </c>
    </row>
    <row r="166" spans="1:14" ht="24" customHeight="1">
      <c r="A166" s="768"/>
      <c r="B166" s="768"/>
      <c r="C166" s="768"/>
      <c r="D166" s="775"/>
      <c r="E166" s="768"/>
      <c r="F166" s="772"/>
      <c r="G166" s="768"/>
      <c r="H166" s="696" t="s">
        <v>504</v>
      </c>
      <c r="I166" s="674">
        <v>50544000</v>
      </c>
      <c r="J166" s="818" t="s">
        <v>509</v>
      </c>
      <c r="K166" s="674" t="s">
        <v>507</v>
      </c>
      <c r="L166" s="674" t="s">
        <v>583</v>
      </c>
      <c r="M166" s="860" t="s">
        <v>450</v>
      </c>
      <c r="N166" s="820">
        <f>I166</f>
        <v>50544000</v>
      </c>
    </row>
    <row r="167" spans="1:14" ht="24" customHeight="1">
      <c r="A167" s="768"/>
      <c r="B167" s="768"/>
      <c r="C167" s="768"/>
      <c r="D167" s="775"/>
      <c r="E167" s="768"/>
      <c r="F167" s="772"/>
      <c r="G167" s="768"/>
      <c r="H167" s="696" t="s">
        <v>505</v>
      </c>
      <c r="I167" s="674">
        <v>52756000</v>
      </c>
      <c r="J167" s="818" t="s">
        <v>511</v>
      </c>
      <c r="K167" s="674" t="s">
        <v>507</v>
      </c>
      <c r="L167" s="674" t="s">
        <v>583</v>
      </c>
      <c r="M167" s="860" t="s">
        <v>450</v>
      </c>
      <c r="N167" s="820">
        <f t="shared" ref="N167:N172" si="17">I167</f>
        <v>52756000</v>
      </c>
    </row>
    <row r="168" spans="1:14" ht="24" customHeight="1">
      <c r="A168" s="768"/>
      <c r="B168" s="768"/>
      <c r="C168" s="768"/>
      <c r="D168" s="775"/>
      <c r="E168" s="768"/>
      <c r="F168" s="772"/>
      <c r="G168" s="768"/>
      <c r="H168" s="821" t="s">
        <v>506</v>
      </c>
      <c r="I168" s="595">
        <v>54156000</v>
      </c>
      <c r="J168" s="822" t="s">
        <v>508</v>
      </c>
      <c r="K168" s="595" t="s">
        <v>507</v>
      </c>
      <c r="L168" s="595" t="s">
        <v>512</v>
      </c>
      <c r="M168" s="861" t="s">
        <v>450</v>
      </c>
      <c r="N168" s="823">
        <f t="shared" si="17"/>
        <v>54156000</v>
      </c>
    </row>
    <row r="169" spans="1:14" ht="24" customHeight="1">
      <c r="A169" s="768"/>
      <c r="B169" s="768"/>
      <c r="C169" s="768"/>
      <c r="D169" s="775"/>
      <c r="E169" s="768"/>
      <c r="F169" s="772"/>
      <c r="G169" s="768"/>
      <c r="H169" s="693" t="s">
        <v>513</v>
      </c>
      <c r="I169" s="585">
        <v>4977600</v>
      </c>
      <c r="J169" s="824" t="s">
        <v>510</v>
      </c>
      <c r="K169" s="585" t="s">
        <v>507</v>
      </c>
      <c r="L169" s="585" t="s">
        <v>583</v>
      </c>
      <c r="M169" s="862" t="s">
        <v>450</v>
      </c>
      <c r="N169" s="825">
        <f t="shared" si="17"/>
        <v>4977600</v>
      </c>
    </row>
    <row r="170" spans="1:14" ht="24" customHeight="1">
      <c r="A170" s="768"/>
      <c r="B170" s="768"/>
      <c r="C170" s="768"/>
      <c r="D170" s="775"/>
      <c r="E170" s="768"/>
      <c r="F170" s="772"/>
      <c r="G170" s="768"/>
      <c r="H170" s="696" t="s">
        <v>514</v>
      </c>
      <c r="I170" s="674">
        <v>5250400</v>
      </c>
      <c r="J170" s="818" t="s">
        <v>509</v>
      </c>
      <c r="K170" s="674" t="s">
        <v>507</v>
      </c>
      <c r="L170" s="674" t="s">
        <v>583</v>
      </c>
      <c r="M170" s="860" t="s">
        <v>450</v>
      </c>
      <c r="N170" s="820">
        <f t="shared" si="17"/>
        <v>5250400</v>
      </c>
    </row>
    <row r="171" spans="1:14" ht="24" customHeight="1">
      <c r="A171" s="768"/>
      <c r="B171" s="768"/>
      <c r="C171" s="768"/>
      <c r="D171" s="775"/>
      <c r="E171" s="768"/>
      <c r="F171" s="772"/>
      <c r="G171" s="768"/>
      <c r="H171" s="696" t="s">
        <v>515</v>
      </c>
      <c r="I171" s="674">
        <v>5873600</v>
      </c>
      <c r="J171" s="818" t="s">
        <v>511</v>
      </c>
      <c r="K171" s="674" t="s">
        <v>507</v>
      </c>
      <c r="L171" s="674" t="s">
        <v>583</v>
      </c>
      <c r="M171" s="860" t="s">
        <v>450</v>
      </c>
      <c r="N171" s="820">
        <f t="shared" si="17"/>
        <v>5873600</v>
      </c>
    </row>
    <row r="172" spans="1:14" ht="24" customHeight="1" thickBot="1">
      <c r="A172" s="768"/>
      <c r="B172" s="768"/>
      <c r="C172" s="768"/>
      <c r="D172" s="775"/>
      <c r="E172" s="768"/>
      <c r="F172" s="772"/>
      <c r="G172" s="774"/>
      <c r="H172" s="702" t="s">
        <v>516</v>
      </c>
      <c r="I172" s="640">
        <v>6099200</v>
      </c>
      <c r="J172" s="826" t="s">
        <v>508</v>
      </c>
      <c r="K172" s="640" t="s">
        <v>507</v>
      </c>
      <c r="L172" s="640" t="s">
        <v>512</v>
      </c>
      <c r="M172" s="863" t="s">
        <v>450</v>
      </c>
      <c r="N172" s="820">
        <f t="shared" si="17"/>
        <v>6099200</v>
      </c>
    </row>
    <row r="173" spans="1:14" ht="14.25" hidden="1" customHeight="1" thickBot="1">
      <c r="A173" s="768"/>
      <c r="B173" s="768"/>
      <c r="C173" s="570"/>
      <c r="D173" s="766"/>
      <c r="E173" s="774"/>
      <c r="F173" s="570"/>
      <c r="G173" s="581">
        <f>E173-F173</f>
        <v>0</v>
      </c>
      <c r="H173" s="827"/>
      <c r="I173" s="718"/>
      <c r="J173" s="816"/>
      <c r="K173" s="816"/>
      <c r="L173" s="816"/>
      <c r="M173" s="828"/>
      <c r="N173" s="582"/>
    </row>
    <row r="174" spans="1:14" ht="23.25" hidden="1" customHeight="1" thickBot="1">
      <c r="A174" s="768"/>
      <c r="B174" s="768"/>
      <c r="C174" s="768"/>
      <c r="D174" s="775"/>
      <c r="E174" s="768"/>
      <c r="F174" s="768"/>
      <c r="G174" s="772">
        <f>E174-F174</f>
        <v>0</v>
      </c>
      <c r="H174" s="829"/>
      <c r="I174" s="718"/>
      <c r="J174" s="730"/>
      <c r="K174" s="730"/>
      <c r="L174" s="730"/>
      <c r="M174" s="830"/>
      <c r="N174" s="678"/>
    </row>
    <row r="175" spans="1:14" ht="19.5" thickBot="1">
      <c r="A175" s="768"/>
      <c r="B175" s="768"/>
      <c r="C175" s="570" t="s">
        <v>234</v>
      </c>
      <c r="D175" s="766">
        <v>33400000</v>
      </c>
      <c r="E175" s="766">
        <v>33400000</v>
      </c>
      <c r="F175" s="773">
        <f>N175</f>
        <v>33400000</v>
      </c>
      <c r="G175" s="571">
        <f>F175-E175</f>
        <v>0</v>
      </c>
      <c r="H175" s="578" t="s">
        <v>114</v>
      </c>
      <c r="I175" s="569"/>
      <c r="J175" s="579"/>
      <c r="K175" s="579"/>
      <c r="L175" s="579"/>
      <c r="M175" s="727"/>
      <c r="N175" s="582">
        <f>SUM(N176:N182)</f>
        <v>33400000</v>
      </c>
    </row>
    <row r="176" spans="1:14">
      <c r="A176" s="768"/>
      <c r="B176" s="768"/>
      <c r="C176" s="768"/>
      <c r="D176" s="775"/>
      <c r="E176" s="782"/>
      <c r="F176" s="773"/>
      <c r="G176" s="772"/>
      <c r="H176" s="865" t="s">
        <v>197</v>
      </c>
      <c r="I176" s="918"/>
      <c r="J176" s="817"/>
      <c r="K176" s="643"/>
      <c r="L176" s="643"/>
      <c r="M176" s="1542" t="s">
        <v>450</v>
      </c>
      <c r="N176" s="819"/>
    </row>
    <row r="177" spans="1:14">
      <c r="A177" s="768"/>
      <c r="B177" s="768"/>
      <c r="C177" s="768"/>
      <c r="D177" s="775"/>
      <c r="E177" s="775"/>
      <c r="F177" s="768"/>
      <c r="G177" s="772"/>
      <c r="H177" s="653" t="s">
        <v>654</v>
      </c>
      <c r="I177" s="605">
        <v>25740000</v>
      </c>
      <c r="J177" s="876">
        <v>1</v>
      </c>
      <c r="K177" s="605" t="s">
        <v>455</v>
      </c>
      <c r="L177" s="605"/>
      <c r="M177" s="1531"/>
      <c r="N177" s="896">
        <f>I177*J177</f>
        <v>25740000</v>
      </c>
    </row>
    <row r="178" spans="1:14">
      <c r="A178" s="768"/>
      <c r="B178" s="768"/>
      <c r="C178" s="768"/>
      <c r="D178" s="775"/>
      <c r="E178" s="775"/>
      <c r="F178" s="768"/>
      <c r="G178" s="772"/>
      <c r="H178" s="593" t="s">
        <v>655</v>
      </c>
      <c r="I178" s="595">
        <v>4300000</v>
      </c>
      <c r="J178" s="822">
        <v>1</v>
      </c>
      <c r="K178" s="595" t="s">
        <v>584</v>
      </c>
      <c r="L178" s="595"/>
      <c r="M178" s="1543"/>
      <c r="N178" s="823">
        <f>I178*J178</f>
        <v>4300000</v>
      </c>
    </row>
    <row r="179" spans="1:14">
      <c r="A179" s="768"/>
      <c r="B179" s="768"/>
      <c r="C179" s="768"/>
      <c r="D179" s="775"/>
      <c r="E179" s="775"/>
      <c r="F179" s="768"/>
      <c r="G179" s="772"/>
      <c r="H179" s="728" t="s">
        <v>624</v>
      </c>
      <c r="I179" s="913">
        <v>0</v>
      </c>
      <c r="J179" s="824"/>
      <c r="K179" s="585"/>
      <c r="L179" s="585"/>
      <c r="M179" s="1530" t="s">
        <v>450</v>
      </c>
      <c r="N179" s="825"/>
    </row>
    <row r="180" spans="1:14">
      <c r="A180" s="768"/>
      <c r="B180" s="768"/>
      <c r="C180" s="768"/>
      <c r="D180" s="775"/>
      <c r="E180" s="775"/>
      <c r="F180" s="768"/>
      <c r="G180" s="772"/>
      <c r="H180" s="593"/>
      <c r="I180" s="595">
        <v>0</v>
      </c>
      <c r="J180" s="822">
        <v>1</v>
      </c>
      <c r="K180" s="595" t="s">
        <v>584</v>
      </c>
      <c r="L180" s="595"/>
      <c r="M180" s="1531"/>
      <c r="N180" s="820">
        <f>I180</f>
        <v>0</v>
      </c>
    </row>
    <row r="181" spans="1:14">
      <c r="A181" s="768"/>
      <c r="B181" s="768"/>
      <c r="C181" s="768"/>
      <c r="D181" s="775"/>
      <c r="E181" s="775"/>
      <c r="F181" s="768"/>
      <c r="G181" s="772"/>
      <c r="H181" s="728" t="s">
        <v>199</v>
      </c>
      <c r="I181" s="913"/>
      <c r="J181" s="824">
        <v>1</v>
      </c>
      <c r="K181" s="585" t="s">
        <v>584</v>
      </c>
      <c r="L181" s="585"/>
      <c r="M181" s="1531" t="s">
        <v>33</v>
      </c>
      <c r="N181" s="897"/>
    </row>
    <row r="182" spans="1:14" ht="19.5" thickBot="1">
      <c r="A182" s="768"/>
      <c r="B182" s="768"/>
      <c r="C182" s="768"/>
      <c r="D182" s="775"/>
      <c r="E182" s="775"/>
      <c r="F182" s="774"/>
      <c r="G182" s="772"/>
      <c r="H182" s="717" t="s">
        <v>656</v>
      </c>
      <c r="I182" s="674">
        <v>3360000</v>
      </c>
      <c r="J182" s="818">
        <v>1</v>
      </c>
      <c r="K182" s="674" t="s">
        <v>584</v>
      </c>
      <c r="L182" s="674"/>
      <c r="M182" s="1531"/>
      <c r="N182" s="820">
        <f>I182*J182</f>
        <v>3360000</v>
      </c>
    </row>
    <row r="183" spans="1:14" ht="19.5" thickBot="1">
      <c r="A183" s="768"/>
      <c r="B183" s="768"/>
      <c r="C183" s="570" t="s">
        <v>116</v>
      </c>
      <c r="D183" s="766">
        <v>760899770</v>
      </c>
      <c r="E183" s="766">
        <v>742800200</v>
      </c>
      <c r="F183" s="765">
        <f>N183</f>
        <v>707841480</v>
      </c>
      <c r="G183" s="571">
        <f>F183-E183</f>
        <v>-34958720</v>
      </c>
      <c r="H183" s="578" t="s">
        <v>116</v>
      </c>
      <c r="I183" s="569"/>
      <c r="J183" s="568"/>
      <c r="K183" s="568"/>
      <c r="L183" s="568"/>
      <c r="M183" s="568"/>
      <c r="N183" s="719">
        <f>N184+N189+N194</f>
        <v>707841480</v>
      </c>
    </row>
    <row r="184" spans="1:14" ht="19.5" thickBot="1">
      <c r="A184" s="768"/>
      <c r="B184" s="768"/>
      <c r="C184" s="768"/>
      <c r="D184" s="786">
        <v>218969700</v>
      </c>
      <c r="E184" s="778">
        <v>212463530</v>
      </c>
      <c r="F184" s="778">
        <f>N184</f>
        <v>198318890</v>
      </c>
      <c r="G184" s="778">
        <f>F184-E184</f>
        <v>-14144640</v>
      </c>
      <c r="H184" s="725" t="s">
        <v>117</v>
      </c>
      <c r="I184" s="919">
        <f>SUM(I185:I188)</f>
        <v>198318890</v>
      </c>
      <c r="J184" s="864"/>
      <c r="K184" s="726"/>
      <c r="L184" s="726"/>
      <c r="M184" s="579"/>
      <c r="N184" s="719">
        <f>I184</f>
        <v>198318890</v>
      </c>
    </row>
    <row r="185" spans="1:14">
      <c r="A185" s="768"/>
      <c r="B185" s="768"/>
      <c r="C185" s="771"/>
      <c r="D185" s="786"/>
      <c r="E185" s="672"/>
      <c r="F185" s="672"/>
      <c r="G185" s="778">
        <f t="shared" ref="G185:G207" si="18">F185-E185</f>
        <v>0</v>
      </c>
      <c r="H185" s="583" t="s">
        <v>592</v>
      </c>
      <c r="I185" s="585">
        <v>56031420</v>
      </c>
      <c r="J185" s="824" t="s">
        <v>587</v>
      </c>
      <c r="K185" s="585" t="s">
        <v>588</v>
      </c>
      <c r="L185" s="585"/>
      <c r="M185" s="1544" t="s">
        <v>33</v>
      </c>
      <c r="N185" s="820">
        <f>I185</f>
        <v>56031420</v>
      </c>
    </row>
    <row r="186" spans="1:14">
      <c r="A186" s="768"/>
      <c r="B186" s="768"/>
      <c r="C186" s="771"/>
      <c r="D186" s="786"/>
      <c r="E186" s="672"/>
      <c r="F186" s="672"/>
      <c r="G186" s="778">
        <f t="shared" si="18"/>
        <v>0</v>
      </c>
      <c r="H186" s="717" t="s">
        <v>593</v>
      </c>
      <c r="I186" s="674">
        <v>44369270</v>
      </c>
      <c r="J186" s="818" t="s">
        <v>589</v>
      </c>
      <c r="K186" s="674" t="s">
        <v>588</v>
      </c>
      <c r="L186" s="674"/>
      <c r="M186" s="1545"/>
      <c r="N186" s="820">
        <f t="shared" ref="N186:N188" si="19">I186</f>
        <v>44369270</v>
      </c>
    </row>
    <row r="187" spans="1:14">
      <c r="A187" s="768"/>
      <c r="B187" s="768"/>
      <c r="C187" s="771"/>
      <c r="D187" s="786"/>
      <c r="E187" s="672"/>
      <c r="F187" s="672"/>
      <c r="G187" s="778">
        <f t="shared" si="18"/>
        <v>0</v>
      </c>
      <c r="H187" s="717" t="s">
        <v>594</v>
      </c>
      <c r="I187" s="585">
        <v>49574970</v>
      </c>
      <c r="J187" s="818" t="s">
        <v>590</v>
      </c>
      <c r="K187" s="674" t="s">
        <v>588</v>
      </c>
      <c r="L187" s="674"/>
      <c r="M187" s="1545"/>
      <c r="N187" s="820">
        <f t="shared" si="19"/>
        <v>49574970</v>
      </c>
    </row>
    <row r="188" spans="1:14" ht="19.5" thickBot="1">
      <c r="A188" s="768"/>
      <c r="B188" s="768"/>
      <c r="C188" s="771"/>
      <c r="D188" s="786"/>
      <c r="E188" s="672"/>
      <c r="F188" s="672"/>
      <c r="G188" s="778">
        <f t="shared" si="18"/>
        <v>0</v>
      </c>
      <c r="H188" s="717" t="s">
        <v>595</v>
      </c>
      <c r="I188" s="585">
        <v>48343230</v>
      </c>
      <c r="J188" s="818" t="s">
        <v>591</v>
      </c>
      <c r="K188" s="674" t="s">
        <v>507</v>
      </c>
      <c r="L188" s="674"/>
      <c r="M188" s="1546"/>
      <c r="N188" s="820">
        <f t="shared" si="19"/>
        <v>48343230</v>
      </c>
    </row>
    <row r="189" spans="1:14" ht="19.5" thickBot="1">
      <c r="A189" s="768"/>
      <c r="B189" s="768"/>
      <c r="C189" s="771"/>
      <c r="D189" s="786">
        <v>520047070</v>
      </c>
      <c r="E189" s="672">
        <v>509777670</v>
      </c>
      <c r="F189" s="778">
        <f>N189</f>
        <v>487579100</v>
      </c>
      <c r="G189" s="778">
        <f t="shared" si="18"/>
        <v>-22198570</v>
      </c>
      <c r="H189" s="578" t="s">
        <v>119</v>
      </c>
      <c r="I189" s="919">
        <f>SUM(I190:I193)</f>
        <v>487579100</v>
      </c>
      <c r="J189" s="579"/>
      <c r="K189" s="579"/>
      <c r="L189" s="579"/>
      <c r="M189" s="831"/>
      <c r="N189" s="582">
        <f>I189</f>
        <v>487579100</v>
      </c>
    </row>
    <row r="190" spans="1:14">
      <c r="A190" s="768"/>
      <c r="B190" s="768"/>
      <c r="C190" s="771"/>
      <c r="D190" s="786"/>
      <c r="E190" s="672"/>
      <c r="F190" s="672"/>
      <c r="G190" s="778"/>
      <c r="H190" s="583" t="s">
        <v>596</v>
      </c>
      <c r="I190" s="585">
        <v>133414770</v>
      </c>
      <c r="J190" s="824" t="s">
        <v>587</v>
      </c>
      <c r="K190" s="585" t="s">
        <v>588</v>
      </c>
      <c r="L190" s="585"/>
      <c r="M190" s="1544" t="s">
        <v>33</v>
      </c>
      <c r="N190" s="820">
        <f>I190</f>
        <v>133414770</v>
      </c>
    </row>
    <row r="191" spans="1:14">
      <c r="A191" s="768"/>
      <c r="B191" s="768"/>
      <c r="C191" s="771"/>
      <c r="D191" s="786"/>
      <c r="E191" s="672"/>
      <c r="F191" s="672"/>
      <c r="G191" s="778"/>
      <c r="H191" s="583" t="s">
        <v>597</v>
      </c>
      <c r="I191" s="674">
        <v>109533360</v>
      </c>
      <c r="J191" s="818" t="s">
        <v>589</v>
      </c>
      <c r="K191" s="674" t="s">
        <v>588</v>
      </c>
      <c r="L191" s="674"/>
      <c r="M191" s="1545"/>
      <c r="N191" s="820">
        <f t="shared" ref="N191:N193" si="20">I191</f>
        <v>109533360</v>
      </c>
    </row>
    <row r="192" spans="1:14">
      <c r="A192" s="768"/>
      <c r="B192" s="768"/>
      <c r="C192" s="771"/>
      <c r="D192" s="786"/>
      <c r="E192" s="672"/>
      <c r="F192" s="672"/>
      <c r="G192" s="778"/>
      <c r="H192" s="583" t="s">
        <v>598</v>
      </c>
      <c r="I192" s="585">
        <v>123477050</v>
      </c>
      <c r="J192" s="818" t="s">
        <v>590</v>
      </c>
      <c r="K192" s="674" t="s">
        <v>588</v>
      </c>
      <c r="L192" s="674"/>
      <c r="M192" s="1545"/>
      <c r="N192" s="820">
        <f t="shared" si="20"/>
        <v>123477050</v>
      </c>
    </row>
    <row r="193" spans="1:16" ht="19.5" thickBot="1">
      <c r="A193" s="768"/>
      <c r="B193" s="768"/>
      <c r="C193" s="771"/>
      <c r="D193" s="786"/>
      <c r="E193" s="672"/>
      <c r="F193" s="672"/>
      <c r="G193" s="778"/>
      <c r="H193" s="583" t="s">
        <v>599</v>
      </c>
      <c r="I193" s="585">
        <v>121153920</v>
      </c>
      <c r="J193" s="818" t="s">
        <v>591</v>
      </c>
      <c r="K193" s="674" t="s">
        <v>507</v>
      </c>
      <c r="L193" s="674"/>
      <c r="M193" s="1546"/>
      <c r="N193" s="678">
        <f t="shared" si="20"/>
        <v>121153920</v>
      </c>
    </row>
    <row r="194" spans="1:16" ht="19.5" thickBot="1">
      <c r="A194" s="768"/>
      <c r="B194" s="768"/>
      <c r="C194" s="768"/>
      <c r="D194" s="778"/>
      <c r="E194" s="672"/>
      <c r="F194" s="672"/>
      <c r="G194" s="778">
        <f t="shared" si="18"/>
        <v>0</v>
      </c>
      <c r="H194" s="578" t="s">
        <v>121</v>
      </c>
      <c r="I194" s="580"/>
      <c r="J194" s="579"/>
      <c r="K194" s="579"/>
      <c r="L194" s="579"/>
      <c r="M194" s="727"/>
      <c r="N194" s="719">
        <f>SUM(N195:N197,N198,N202)</f>
        <v>21943490</v>
      </c>
    </row>
    <row r="195" spans="1:16" ht="28.5">
      <c r="A195" s="768"/>
      <c r="B195" s="768"/>
      <c r="C195" s="771"/>
      <c r="D195" s="786">
        <v>16428000</v>
      </c>
      <c r="E195" s="672">
        <v>14342000</v>
      </c>
      <c r="F195" s="778">
        <f>N195</f>
        <v>14342000</v>
      </c>
      <c r="G195" s="778">
        <f t="shared" si="18"/>
        <v>0</v>
      </c>
      <c r="H195" s="901" t="s">
        <v>122</v>
      </c>
      <c r="I195" s="622">
        <v>14342000</v>
      </c>
      <c r="J195" s="902">
        <v>1</v>
      </c>
      <c r="K195" s="903" t="s">
        <v>467</v>
      </c>
      <c r="L195" s="904" t="s">
        <v>726</v>
      </c>
      <c r="M195" s="905"/>
      <c r="N195" s="878">
        <f>I195</f>
        <v>14342000</v>
      </c>
    </row>
    <row r="196" spans="1:16">
      <c r="A196" s="768"/>
      <c r="B196" s="768"/>
      <c r="C196" s="771"/>
      <c r="D196" s="786"/>
      <c r="E196" s="672"/>
      <c r="F196" s="778">
        <v>500000</v>
      </c>
      <c r="G196" s="778">
        <f t="shared" si="18"/>
        <v>500000</v>
      </c>
      <c r="H196" s="1020" t="s">
        <v>728</v>
      </c>
      <c r="I196" s="746">
        <v>500000</v>
      </c>
      <c r="J196" s="1021">
        <v>1</v>
      </c>
      <c r="K196" s="1006"/>
      <c r="L196" s="1022"/>
      <c r="M196" s="1023"/>
      <c r="N196" s="879">
        <f>I196</f>
        <v>500000</v>
      </c>
    </row>
    <row r="197" spans="1:16" ht="18" customHeight="1">
      <c r="A197" s="768"/>
      <c r="B197" s="768"/>
      <c r="C197" s="771"/>
      <c r="D197" s="786">
        <v>1655000</v>
      </c>
      <c r="E197" s="672">
        <v>1657000</v>
      </c>
      <c r="F197" s="778">
        <f>N197</f>
        <v>2047000</v>
      </c>
      <c r="G197" s="778">
        <f t="shared" si="18"/>
        <v>390000</v>
      </c>
      <c r="H197" s="936" t="s">
        <v>642</v>
      </c>
      <c r="I197" s="627">
        <f>1219000+828000</f>
        <v>2047000</v>
      </c>
      <c r="J197" s="937">
        <v>1</v>
      </c>
      <c r="K197" s="938" t="s">
        <v>467</v>
      </c>
      <c r="L197" s="941"/>
      <c r="M197" s="942"/>
      <c r="N197" s="943">
        <f>I197</f>
        <v>2047000</v>
      </c>
    </row>
    <row r="198" spans="1:16" ht="18" customHeight="1">
      <c r="A198" s="768"/>
      <c r="B198" s="768"/>
      <c r="C198" s="771"/>
      <c r="D198" s="786"/>
      <c r="E198" s="672"/>
      <c r="F198" s="672"/>
      <c r="G198" s="778">
        <f t="shared" si="18"/>
        <v>0</v>
      </c>
      <c r="H198" s="867" t="s">
        <v>123</v>
      </c>
      <c r="I198" s="636">
        <f>SUM(N199+N200+N201)</f>
        <v>3584490</v>
      </c>
      <c r="J198" s="898"/>
      <c r="K198" s="899"/>
      <c r="L198" s="899" t="s">
        <v>585</v>
      </c>
      <c r="M198" s="900"/>
      <c r="N198" s="825">
        <f>SUM(N199:N201)</f>
        <v>3584490</v>
      </c>
    </row>
    <row r="199" spans="1:16" ht="18" customHeight="1">
      <c r="A199" s="768"/>
      <c r="B199" s="768"/>
      <c r="C199" s="771"/>
      <c r="D199" s="786">
        <v>1800000</v>
      </c>
      <c r="E199" s="672">
        <v>2520000</v>
      </c>
      <c r="F199" s="778">
        <f>N199</f>
        <v>3060000</v>
      </c>
      <c r="G199" s="778">
        <f t="shared" si="18"/>
        <v>540000</v>
      </c>
      <c r="H199" s="909" t="s">
        <v>657</v>
      </c>
      <c r="I199" s="737">
        <v>255000</v>
      </c>
      <c r="J199" s="910">
        <v>12</v>
      </c>
      <c r="K199" s="911" t="s">
        <v>453</v>
      </c>
      <c r="L199" s="911"/>
      <c r="M199" s="912"/>
      <c r="N199" s="825">
        <f>I199*J199</f>
        <v>3060000</v>
      </c>
    </row>
    <row r="200" spans="1:16" ht="18" customHeight="1">
      <c r="A200" s="768"/>
      <c r="B200" s="768"/>
      <c r="C200" s="771"/>
      <c r="D200" s="786"/>
      <c r="E200" s="672"/>
      <c r="F200" s="778">
        <f>N200</f>
        <v>164490</v>
      </c>
      <c r="G200" s="778">
        <f t="shared" si="18"/>
        <v>164490</v>
      </c>
      <c r="H200" s="1004" t="s">
        <v>704</v>
      </c>
      <c r="I200" s="740">
        <v>164490</v>
      </c>
      <c r="J200" s="833">
        <v>1</v>
      </c>
      <c r="K200" s="1005" t="s">
        <v>455</v>
      </c>
      <c r="L200" s="834"/>
      <c r="M200" s="1007"/>
      <c r="N200" s="896">
        <f>I200*J200</f>
        <v>164490</v>
      </c>
    </row>
    <row r="201" spans="1:16" ht="18" customHeight="1">
      <c r="A201" s="768"/>
      <c r="B201" s="768"/>
      <c r="C201" s="771"/>
      <c r="D201" s="786"/>
      <c r="E201" s="672">
        <v>360000</v>
      </c>
      <c r="F201" s="778">
        <f>N201</f>
        <v>360000</v>
      </c>
      <c r="G201" s="778">
        <f t="shared" si="18"/>
        <v>0</v>
      </c>
      <c r="H201" s="866" t="s">
        <v>658</v>
      </c>
      <c r="I201" s="733">
        <v>30000</v>
      </c>
      <c r="J201" s="906">
        <v>12</v>
      </c>
      <c r="K201" s="907" t="s">
        <v>453</v>
      </c>
      <c r="L201" s="1006"/>
      <c r="M201" s="908"/>
      <c r="N201" s="823">
        <f>I201*J201</f>
        <v>360000</v>
      </c>
    </row>
    <row r="202" spans="1:16" ht="18" customHeight="1">
      <c r="A202" s="768"/>
      <c r="B202" s="768"/>
      <c r="C202" s="771"/>
      <c r="D202" s="786"/>
      <c r="E202" s="672"/>
      <c r="F202" s="672"/>
      <c r="G202" s="778">
        <f t="shared" si="18"/>
        <v>0</v>
      </c>
      <c r="H202" s="867" t="s">
        <v>686</v>
      </c>
      <c r="I202" s="636">
        <v>1470000</v>
      </c>
      <c r="J202" s="898"/>
      <c r="K202" s="899"/>
      <c r="L202" s="899"/>
      <c r="M202" s="900"/>
      <c r="N202" s="900">
        <f>SUM(N203:N204)</f>
        <v>1470000</v>
      </c>
    </row>
    <row r="203" spans="1:16" ht="18" customHeight="1">
      <c r="A203" s="768"/>
      <c r="B203" s="768"/>
      <c r="C203" s="771"/>
      <c r="D203" s="786">
        <v>1000000</v>
      </c>
      <c r="E203" s="672">
        <v>680000</v>
      </c>
      <c r="F203" s="778">
        <f>N203</f>
        <v>680000</v>
      </c>
      <c r="G203" s="778">
        <f t="shared" si="18"/>
        <v>0</v>
      </c>
      <c r="H203" s="909" t="s">
        <v>124</v>
      </c>
      <c r="I203" s="737">
        <v>10000</v>
      </c>
      <c r="J203" s="910">
        <v>68</v>
      </c>
      <c r="K203" s="911" t="s">
        <v>490</v>
      </c>
      <c r="L203" s="911"/>
      <c r="M203" s="912"/>
      <c r="N203" s="825">
        <f>I203*J203</f>
        <v>680000</v>
      </c>
    </row>
    <row r="204" spans="1:16" ht="18" customHeight="1" thickBot="1">
      <c r="A204" s="768"/>
      <c r="B204" s="768"/>
      <c r="C204" s="771"/>
      <c r="D204" s="786">
        <v>1000000</v>
      </c>
      <c r="E204" s="784">
        <v>1000000</v>
      </c>
      <c r="F204" s="778">
        <f>N204</f>
        <v>790000</v>
      </c>
      <c r="G204" s="778">
        <f t="shared" si="18"/>
        <v>-210000</v>
      </c>
      <c r="H204" s="1016" t="s">
        <v>125</v>
      </c>
      <c r="I204" s="638">
        <v>10000</v>
      </c>
      <c r="J204" s="1017">
        <v>79</v>
      </c>
      <c r="K204" s="1018" t="s">
        <v>490</v>
      </c>
      <c r="L204" s="1018"/>
      <c r="M204" s="1019"/>
      <c r="N204" s="820">
        <f>I204*J204</f>
        <v>790000</v>
      </c>
    </row>
    <row r="205" spans="1:16" ht="19.5" thickBot="1">
      <c r="A205" s="570" t="s">
        <v>34</v>
      </c>
      <c r="B205" s="570"/>
      <c r="C205" s="570" t="s">
        <v>42</v>
      </c>
      <c r="D205" s="766">
        <f>D206</f>
        <v>20000000</v>
      </c>
      <c r="E205" s="570">
        <v>15000000</v>
      </c>
      <c r="F205" s="766">
        <f>N205</f>
        <v>15000000</v>
      </c>
      <c r="G205" s="571">
        <f t="shared" si="18"/>
        <v>0</v>
      </c>
      <c r="H205" s="617" t="s">
        <v>126</v>
      </c>
      <c r="I205" s="963"/>
      <c r="J205" s="756"/>
      <c r="K205" s="756"/>
      <c r="L205" s="756"/>
      <c r="M205" s="756"/>
      <c r="N205" s="719">
        <f>N206</f>
        <v>15000000</v>
      </c>
    </row>
    <row r="206" spans="1:16" s="520" customFormat="1" ht="19.5" thickBot="1">
      <c r="A206" s="768"/>
      <c r="B206" s="570" t="s">
        <v>34</v>
      </c>
      <c r="C206" s="570"/>
      <c r="D206" s="766">
        <f>D207</f>
        <v>20000000</v>
      </c>
      <c r="E206" s="570">
        <v>15000000</v>
      </c>
      <c r="F206" s="766">
        <f>N206</f>
        <v>15000000</v>
      </c>
      <c r="G206" s="571">
        <f t="shared" si="18"/>
        <v>0</v>
      </c>
      <c r="H206" s="617" t="s">
        <v>126</v>
      </c>
      <c r="I206" s="569"/>
      <c r="J206" s="568"/>
      <c r="K206" s="568"/>
      <c r="L206" s="568"/>
      <c r="M206" s="831"/>
      <c r="N206" s="719">
        <f>N207</f>
        <v>15000000</v>
      </c>
      <c r="P206" s="1027"/>
    </row>
    <row r="207" spans="1:16" s="520" customFormat="1" ht="19.5" thickBot="1">
      <c r="A207" s="768"/>
      <c r="B207" s="768"/>
      <c r="C207" s="774" t="s">
        <v>126</v>
      </c>
      <c r="D207" s="765">
        <v>20000000</v>
      </c>
      <c r="E207" s="774">
        <v>15000000</v>
      </c>
      <c r="F207" s="782">
        <f>N207</f>
        <v>15000000</v>
      </c>
      <c r="G207" s="571">
        <f t="shared" si="18"/>
        <v>0</v>
      </c>
      <c r="H207" s="617" t="s">
        <v>126</v>
      </c>
      <c r="I207" s="619"/>
      <c r="J207" s="618"/>
      <c r="K207" s="618"/>
      <c r="L207" s="618"/>
      <c r="M207" s="802"/>
      <c r="N207" s="789">
        <f>SUM(N208:N209)</f>
        <v>15000000</v>
      </c>
      <c r="P207" s="1027"/>
    </row>
    <row r="208" spans="1:16" ht="15" customHeight="1">
      <c r="A208" s="768"/>
      <c r="B208" s="768"/>
      <c r="C208" s="771"/>
      <c r="D208" s="786">
        <v>5000000</v>
      </c>
      <c r="E208" s="778">
        <v>5000000</v>
      </c>
      <c r="F208" s="779">
        <f>I208</f>
        <v>5000000</v>
      </c>
      <c r="G208" s="771">
        <f t="shared" ref="G208" si="21">E208-D208</f>
        <v>0</v>
      </c>
      <c r="H208" s="832" t="s">
        <v>687</v>
      </c>
      <c r="I208" s="740">
        <v>5000000</v>
      </c>
      <c r="J208" s="833">
        <v>1</v>
      </c>
      <c r="K208" s="834" t="s">
        <v>467</v>
      </c>
      <c r="L208" s="833"/>
      <c r="M208" s="835"/>
      <c r="N208" s="820">
        <f>I208</f>
        <v>5000000</v>
      </c>
    </row>
    <row r="209" spans="1:14" ht="15" customHeight="1" thickBot="1">
      <c r="A209" s="768"/>
      <c r="B209" s="768"/>
      <c r="C209" s="771"/>
      <c r="D209" s="786">
        <v>15000000</v>
      </c>
      <c r="E209" s="783">
        <v>10000000</v>
      </c>
      <c r="F209" s="784">
        <f>I209</f>
        <v>10000000</v>
      </c>
      <c r="G209" s="786">
        <f>F209-E209</f>
        <v>0</v>
      </c>
      <c r="H209" s="832" t="s">
        <v>688</v>
      </c>
      <c r="I209" s="740">
        <v>10000000</v>
      </c>
      <c r="J209" s="833">
        <v>1</v>
      </c>
      <c r="K209" s="834" t="s">
        <v>467</v>
      </c>
      <c r="L209" s="833"/>
      <c r="M209" s="835"/>
      <c r="N209" s="820">
        <f>I209</f>
        <v>10000000</v>
      </c>
    </row>
    <row r="210" spans="1:14" ht="15" customHeight="1" thickBot="1">
      <c r="A210" s="570" t="s">
        <v>35</v>
      </c>
      <c r="B210" s="570"/>
      <c r="C210" s="570"/>
      <c r="D210" s="766">
        <f>D211</f>
        <v>17280000</v>
      </c>
      <c r="E210" s="766">
        <v>18800000</v>
      </c>
      <c r="F210" s="765">
        <f>F211</f>
        <v>18800000</v>
      </c>
      <c r="G210" s="571">
        <f t="shared" ref="G210:G211" si="22">F210-E210</f>
        <v>0</v>
      </c>
      <c r="H210" s="576" t="s">
        <v>35</v>
      </c>
      <c r="I210" s="569"/>
      <c r="J210" s="568"/>
      <c r="K210" s="568"/>
      <c r="L210" s="568"/>
      <c r="M210" s="831"/>
      <c r="N210" s="719">
        <f>N211</f>
        <v>18800000</v>
      </c>
    </row>
    <row r="211" spans="1:14" ht="15" customHeight="1" thickBot="1">
      <c r="A211" s="768"/>
      <c r="B211" s="570" t="s">
        <v>35</v>
      </c>
      <c r="C211" s="570" t="s">
        <v>35</v>
      </c>
      <c r="D211" s="766">
        <f>SUM(D212:D215)</f>
        <v>17280000</v>
      </c>
      <c r="E211" s="766">
        <v>18800000</v>
      </c>
      <c r="F211" s="766">
        <f>SUM(F212:F215)</f>
        <v>18800000</v>
      </c>
      <c r="G211" s="571">
        <f t="shared" si="22"/>
        <v>0</v>
      </c>
      <c r="H211" s="576" t="s">
        <v>35</v>
      </c>
      <c r="I211" s="580"/>
      <c r="J211" s="579"/>
      <c r="K211" s="579"/>
      <c r="L211" s="579"/>
      <c r="M211" s="727"/>
      <c r="N211" s="719">
        <f>SUM(N212:N215)-N212</f>
        <v>18800000</v>
      </c>
    </row>
    <row r="212" spans="1:14" ht="18" customHeight="1">
      <c r="A212" s="768"/>
      <c r="B212" s="768"/>
      <c r="C212" s="747" t="s">
        <v>208</v>
      </c>
      <c r="D212" s="778"/>
      <c r="E212" s="778"/>
      <c r="F212" s="778"/>
      <c r="G212" s="778">
        <f t="shared" ref="G212:G215" si="23">F212-E212</f>
        <v>0</v>
      </c>
      <c r="H212" s="836" t="s">
        <v>208</v>
      </c>
      <c r="I212" s="742">
        <f>SUM(I213:I214)</f>
        <v>11300000</v>
      </c>
      <c r="J212" s="689"/>
      <c r="K212" s="689"/>
      <c r="L212" s="689"/>
      <c r="M212" s="837"/>
      <c r="N212" s="874">
        <v>0</v>
      </c>
    </row>
    <row r="213" spans="1:14" ht="28.5">
      <c r="A213" s="768"/>
      <c r="B213" s="768"/>
      <c r="C213" s="768"/>
      <c r="D213" s="778">
        <v>6000000</v>
      </c>
      <c r="E213" s="778">
        <v>6300000</v>
      </c>
      <c r="F213" s="778">
        <f>I213</f>
        <v>6300000</v>
      </c>
      <c r="G213" s="778">
        <f t="shared" si="23"/>
        <v>0</v>
      </c>
      <c r="H213" s="838" t="s">
        <v>586</v>
      </c>
      <c r="I213" s="740">
        <v>6300000</v>
      </c>
      <c r="J213" s="740">
        <v>1</v>
      </c>
      <c r="K213" s="740" t="s">
        <v>467</v>
      </c>
      <c r="L213" s="674" t="s">
        <v>669</v>
      </c>
      <c r="M213" s="839"/>
      <c r="N213" s="840">
        <f>I213*J213</f>
        <v>6300000</v>
      </c>
    </row>
    <row r="214" spans="1:14" ht="18" customHeight="1">
      <c r="A214" s="768"/>
      <c r="B214" s="768"/>
      <c r="C214" s="768"/>
      <c r="D214" s="778">
        <v>3780000</v>
      </c>
      <c r="E214" s="778">
        <v>5000000</v>
      </c>
      <c r="F214" s="778">
        <f>I214</f>
        <v>5000000</v>
      </c>
      <c r="G214" s="778">
        <f t="shared" si="23"/>
        <v>0</v>
      </c>
      <c r="H214" s="838" t="s">
        <v>517</v>
      </c>
      <c r="I214" s="733">
        <v>5000000</v>
      </c>
      <c r="J214" s="733">
        <v>1</v>
      </c>
      <c r="K214" s="733" t="s">
        <v>467</v>
      </c>
      <c r="L214" s="733"/>
      <c r="M214" s="890"/>
      <c r="N214" s="840">
        <f t="shared" ref="N214" si="24">I214*J214</f>
        <v>5000000</v>
      </c>
    </row>
    <row r="215" spans="1:14" ht="18" customHeight="1" thickBot="1">
      <c r="A215" s="768"/>
      <c r="B215" s="768"/>
      <c r="C215" s="672" t="s">
        <v>209</v>
      </c>
      <c r="D215" s="778">
        <v>7500000</v>
      </c>
      <c r="E215" s="778">
        <v>7500000</v>
      </c>
      <c r="F215" s="778">
        <f>N215</f>
        <v>7500000</v>
      </c>
      <c r="G215" s="778">
        <f t="shared" si="23"/>
        <v>0</v>
      </c>
      <c r="H215" s="841" t="s">
        <v>518</v>
      </c>
      <c r="I215" s="1008">
        <v>7500000</v>
      </c>
      <c r="J215" s="604">
        <v>1</v>
      </c>
      <c r="K215" s="636" t="s">
        <v>467</v>
      </c>
      <c r="L215" s="604"/>
      <c r="M215" s="889"/>
      <c r="N215" s="877">
        <v>7500000</v>
      </c>
    </row>
    <row r="216" spans="1:14" ht="14.25" hidden="1" customHeight="1" thickBot="1">
      <c r="A216" s="768"/>
      <c r="B216" s="768"/>
      <c r="C216" s="768"/>
      <c r="D216" s="775"/>
      <c r="E216" s="775"/>
      <c r="F216" s="775">
        <f t="shared" ref="F216:F217" si="25">N216</f>
        <v>0</v>
      </c>
      <c r="G216" s="775">
        <f>E216-F216</f>
        <v>0</v>
      </c>
      <c r="H216" s="842"/>
      <c r="I216" s="772"/>
      <c r="J216" s="757"/>
      <c r="K216" s="757"/>
      <c r="L216" s="757"/>
      <c r="M216" s="843"/>
      <c r="N216" s="607"/>
    </row>
    <row r="217" spans="1:14" ht="15" hidden="1" customHeight="1" thickBot="1">
      <c r="A217" s="768"/>
      <c r="B217" s="768"/>
      <c r="C217" s="768"/>
      <c r="D217" s="775"/>
      <c r="E217" s="775"/>
      <c r="F217" s="775">
        <f t="shared" si="25"/>
        <v>0</v>
      </c>
      <c r="G217" s="775">
        <f>E217-F217</f>
        <v>0</v>
      </c>
      <c r="H217" s="788"/>
      <c r="I217" s="772"/>
      <c r="J217" s="757"/>
      <c r="K217" s="757"/>
      <c r="L217" s="757"/>
      <c r="M217" s="843"/>
      <c r="N217" s="660"/>
    </row>
    <row r="218" spans="1:14" ht="15" customHeight="1" thickBot="1">
      <c r="A218" s="570" t="s">
        <v>36</v>
      </c>
      <c r="B218" s="570"/>
      <c r="C218" s="570" t="s">
        <v>42</v>
      </c>
      <c r="D218" s="766">
        <f>D219</f>
        <v>14400000</v>
      </c>
      <c r="E218" s="766">
        <v>14700000</v>
      </c>
      <c r="F218" s="766">
        <f>F219</f>
        <v>15994170</v>
      </c>
      <c r="G218" s="571">
        <f t="shared" ref="G218:G219" si="26">F218-E218</f>
        <v>1294170</v>
      </c>
      <c r="H218" s="578" t="s">
        <v>36</v>
      </c>
      <c r="I218" s="569"/>
      <c r="J218" s="568"/>
      <c r="K218" s="568"/>
      <c r="L218" s="568"/>
      <c r="M218" s="831"/>
      <c r="N218" s="719">
        <f>N219</f>
        <v>15994170</v>
      </c>
    </row>
    <row r="219" spans="1:14" ht="15" customHeight="1" thickBot="1">
      <c r="A219" s="768"/>
      <c r="B219" s="570" t="s">
        <v>36</v>
      </c>
      <c r="C219" s="570"/>
      <c r="D219" s="766">
        <f>D220++D223</f>
        <v>14400000</v>
      </c>
      <c r="E219" s="766">
        <v>14700000</v>
      </c>
      <c r="F219" s="766">
        <f>SUM(F220:F224)</f>
        <v>15994170</v>
      </c>
      <c r="G219" s="571">
        <f t="shared" si="26"/>
        <v>1294170</v>
      </c>
      <c r="H219" s="578" t="s">
        <v>36</v>
      </c>
      <c r="I219" s="580"/>
      <c r="J219" s="579"/>
      <c r="K219" s="579"/>
      <c r="L219" s="579"/>
      <c r="M219" s="727"/>
      <c r="N219" s="719">
        <f>SUM(N220,N223:N224)</f>
        <v>15994170</v>
      </c>
    </row>
    <row r="220" spans="1:14" ht="18" customHeight="1">
      <c r="A220" s="768"/>
      <c r="B220" s="768"/>
      <c r="C220" s="779" t="s">
        <v>260</v>
      </c>
      <c r="D220" s="780">
        <v>14400000</v>
      </c>
      <c r="E220" s="778">
        <v>14400000</v>
      </c>
      <c r="F220" s="778">
        <f>I220</f>
        <v>14373870</v>
      </c>
      <c r="G220" s="778">
        <f t="shared" ref="G220:G224" si="27">F220-E220</f>
        <v>-26130</v>
      </c>
      <c r="H220" s="749" t="s">
        <v>250</v>
      </c>
      <c r="I220" s="744">
        <f>N221+N222</f>
        <v>14373870</v>
      </c>
      <c r="J220" s="750"/>
      <c r="K220" s="745"/>
      <c r="L220" s="745"/>
      <c r="M220" s="741" t="s">
        <v>36</v>
      </c>
      <c r="N220" s="646">
        <f>SUM(N221:N222)</f>
        <v>14373870</v>
      </c>
    </row>
    <row r="221" spans="1:14" ht="28.5">
      <c r="A221" s="768"/>
      <c r="B221" s="768"/>
      <c r="C221" s="672"/>
      <c r="D221" s="775"/>
      <c r="E221" s="778"/>
      <c r="F221" s="775"/>
      <c r="G221" s="778"/>
      <c r="H221" s="701" t="s">
        <v>250</v>
      </c>
      <c r="I221" s="740">
        <v>1200000</v>
      </c>
      <c r="J221" s="739">
        <v>12</v>
      </c>
      <c r="K221" s="740" t="s">
        <v>453</v>
      </c>
      <c r="L221" s="674" t="s">
        <v>740</v>
      </c>
      <c r="M221" s="741" t="s">
        <v>36</v>
      </c>
      <c r="N221" s="723">
        <v>14203870</v>
      </c>
    </row>
    <row r="222" spans="1:14" ht="18" customHeight="1">
      <c r="A222" s="768"/>
      <c r="B222" s="768"/>
      <c r="C222" s="768"/>
      <c r="D222" s="775"/>
      <c r="E222" s="778"/>
      <c r="F222" s="778"/>
      <c r="G222" s="778">
        <f t="shared" si="27"/>
        <v>0</v>
      </c>
      <c r="H222" s="752" t="s">
        <v>496</v>
      </c>
      <c r="I222" s="733">
        <v>170000</v>
      </c>
      <c r="J222" s="732">
        <v>1</v>
      </c>
      <c r="K222" s="733" t="s">
        <v>467</v>
      </c>
      <c r="L222" s="733"/>
      <c r="M222" s="753" t="s">
        <v>36</v>
      </c>
      <c r="N222" s="652">
        <f t="shared" ref="N222" si="28">I222*J222</f>
        <v>170000</v>
      </c>
    </row>
    <row r="223" spans="1:14">
      <c r="A223" s="768"/>
      <c r="B223" s="768"/>
      <c r="C223" s="768" t="s">
        <v>129</v>
      </c>
      <c r="D223" s="775"/>
      <c r="E223" s="778">
        <v>300000</v>
      </c>
      <c r="F223" s="778">
        <f t="shared" ref="F223" si="29">N223</f>
        <v>450000</v>
      </c>
      <c r="G223" s="778">
        <f t="shared" si="27"/>
        <v>150000</v>
      </c>
      <c r="H223" s="1009" t="s">
        <v>708</v>
      </c>
      <c r="I223" s="733">
        <v>450000</v>
      </c>
      <c r="J223" s="732">
        <v>1</v>
      </c>
      <c r="K223" s="733" t="s">
        <v>467</v>
      </c>
      <c r="L223" s="733" t="s">
        <v>710</v>
      </c>
      <c r="M223" s="753" t="s">
        <v>36</v>
      </c>
      <c r="N223" s="854">
        <v>450000</v>
      </c>
    </row>
    <row r="224" spans="1:14" ht="15" customHeight="1" thickBot="1">
      <c r="A224" s="768"/>
      <c r="B224" s="768"/>
      <c r="C224" s="768"/>
      <c r="D224" s="775"/>
      <c r="E224" s="775"/>
      <c r="F224" s="778">
        <f>N224</f>
        <v>1170300</v>
      </c>
      <c r="G224" s="778">
        <f t="shared" si="27"/>
        <v>1170300</v>
      </c>
      <c r="H224" s="787" t="s">
        <v>129</v>
      </c>
      <c r="I224" s="733">
        <f>N224</f>
        <v>1170300</v>
      </c>
      <c r="J224" s="732">
        <v>1</v>
      </c>
      <c r="K224" s="733" t="s">
        <v>467</v>
      </c>
      <c r="L224" s="733" t="s">
        <v>706</v>
      </c>
      <c r="M224" s="753" t="s">
        <v>36</v>
      </c>
      <c r="N224" s="655">
        <v>1170300</v>
      </c>
    </row>
    <row r="225" spans="1:16" ht="19.5" thickBot="1">
      <c r="A225" s="773" t="s">
        <v>130</v>
      </c>
      <c r="B225" s="773"/>
      <c r="C225" s="773"/>
      <c r="D225" s="782">
        <v>138087805</v>
      </c>
      <c r="E225" s="782">
        <v>143298954</v>
      </c>
      <c r="F225" s="782">
        <f>F226</f>
        <v>143298954</v>
      </c>
      <c r="G225" s="571">
        <f t="shared" ref="G225:G226" si="30">F225-E225</f>
        <v>0</v>
      </c>
      <c r="H225" s="579" t="s">
        <v>130</v>
      </c>
      <c r="I225" s="569"/>
      <c r="J225" s="568"/>
      <c r="K225" s="568"/>
      <c r="L225" s="568"/>
      <c r="M225" s="831"/>
      <c r="N225" s="719">
        <f>N226</f>
        <v>143298954</v>
      </c>
    </row>
    <row r="226" spans="1:16" s="520" customFormat="1" ht="18.75" customHeight="1" thickBot="1">
      <c r="A226" s="782"/>
      <c r="B226" s="570" t="s">
        <v>130</v>
      </c>
      <c r="C226" s="580" t="s">
        <v>42</v>
      </c>
      <c r="D226" s="570">
        <v>138087805</v>
      </c>
      <c r="E226" s="570">
        <v>143298954</v>
      </c>
      <c r="F226" s="580">
        <f>SUM(F227:F240)</f>
        <v>143298954</v>
      </c>
      <c r="G226" s="773">
        <f t="shared" si="30"/>
        <v>0</v>
      </c>
      <c r="H226" s="579" t="s">
        <v>130</v>
      </c>
      <c r="I226" s="569"/>
      <c r="J226" s="568"/>
      <c r="K226" s="568"/>
      <c r="L226" s="568"/>
      <c r="M226" s="831"/>
      <c r="N226" s="719">
        <f>SUM(N238,N234,N232,N229,N227)</f>
        <v>143298954</v>
      </c>
      <c r="P226" s="1027"/>
    </row>
    <row r="227" spans="1:16" s="520" customFormat="1" ht="18.75" customHeight="1">
      <c r="A227" s="775"/>
      <c r="B227" s="768"/>
      <c r="C227" s="786" t="s">
        <v>368</v>
      </c>
      <c r="D227" s="672">
        <v>46000000</v>
      </c>
      <c r="E227" s="672">
        <v>43895350</v>
      </c>
      <c r="F227" s="786">
        <f>I227</f>
        <v>43895350</v>
      </c>
      <c r="G227" s="779">
        <f t="shared" ref="G227:G240" si="31">F227-E227</f>
        <v>0</v>
      </c>
      <c r="H227" s="927" t="s">
        <v>600</v>
      </c>
      <c r="I227" s="742">
        <f>SUM(I228:I228)</f>
        <v>43895350</v>
      </c>
      <c r="J227" s="738"/>
      <c r="K227" s="738"/>
      <c r="L227" s="738"/>
      <c r="M227" s="870"/>
      <c r="N227" s="646">
        <f>I227</f>
        <v>43895350</v>
      </c>
      <c r="P227" s="1027"/>
    </row>
    <row r="228" spans="1:16" s="520" customFormat="1" ht="18.75" customHeight="1">
      <c r="A228" s="775"/>
      <c r="B228" s="768"/>
      <c r="C228" s="786"/>
      <c r="D228" s="672"/>
      <c r="E228" s="672"/>
      <c r="F228" s="786"/>
      <c r="G228" s="672">
        <f t="shared" si="31"/>
        <v>0</v>
      </c>
      <c r="H228" s="928" t="s">
        <v>444</v>
      </c>
      <c r="I228" s="740">
        <v>43895350</v>
      </c>
      <c r="J228" s="739"/>
      <c r="K228" s="740"/>
      <c r="L228" s="740" t="s">
        <v>649</v>
      </c>
      <c r="M228" s="871"/>
      <c r="N228" s="723">
        <f>I228</f>
        <v>43895350</v>
      </c>
      <c r="P228" s="1027"/>
    </row>
    <row r="229" spans="1:16" s="520" customFormat="1" ht="18.75" customHeight="1">
      <c r="A229" s="775"/>
      <c r="B229" s="768"/>
      <c r="C229" s="786" t="s">
        <v>369</v>
      </c>
      <c r="D229" s="672">
        <v>27245000</v>
      </c>
      <c r="E229" s="672">
        <v>29098232</v>
      </c>
      <c r="F229" s="786">
        <f>I229</f>
        <v>29098232</v>
      </c>
      <c r="G229" s="672">
        <f t="shared" si="31"/>
        <v>0</v>
      </c>
      <c r="H229" s="929" t="s">
        <v>523</v>
      </c>
      <c r="I229" s="920">
        <f>SUM(I230:I231)</f>
        <v>29098232</v>
      </c>
      <c r="J229" s="734"/>
      <c r="K229" s="734"/>
      <c r="L229" s="585"/>
      <c r="M229" s="872"/>
      <c r="N229" s="724">
        <f t="shared" ref="N229:N234" si="32">I229</f>
        <v>29098232</v>
      </c>
      <c r="P229" s="1027"/>
    </row>
    <row r="230" spans="1:16" s="520" customFormat="1" ht="18.75" customHeight="1">
      <c r="A230" s="775"/>
      <c r="B230" s="768"/>
      <c r="C230" s="786"/>
      <c r="D230" s="672"/>
      <c r="E230" s="672"/>
      <c r="F230" s="786"/>
      <c r="G230" s="672">
        <f t="shared" si="31"/>
        <v>0</v>
      </c>
      <c r="H230" s="928" t="s">
        <v>521</v>
      </c>
      <c r="I230" s="740">
        <v>27852711</v>
      </c>
      <c r="J230" s="739"/>
      <c r="K230" s="739"/>
      <c r="L230" s="674" t="s">
        <v>649</v>
      </c>
      <c r="M230" s="872"/>
      <c r="N230" s="723">
        <f>I230</f>
        <v>27852711</v>
      </c>
      <c r="P230" s="1027"/>
    </row>
    <row r="231" spans="1:16" s="520" customFormat="1" ht="18.75" customHeight="1">
      <c r="A231" s="775"/>
      <c r="B231" s="768"/>
      <c r="C231" s="786"/>
      <c r="D231" s="939"/>
      <c r="E231" s="939"/>
      <c r="F231" s="760"/>
      <c r="G231" s="672">
        <f t="shared" si="31"/>
        <v>0</v>
      </c>
      <c r="H231" s="930" t="s">
        <v>522</v>
      </c>
      <c r="I231" s="743">
        <v>1245521</v>
      </c>
      <c r="J231" s="758"/>
      <c r="K231" s="758"/>
      <c r="L231" s="588" t="s">
        <v>648</v>
      </c>
      <c r="M231" s="651"/>
      <c r="N231" s="652">
        <f>I231</f>
        <v>1245521</v>
      </c>
      <c r="P231" s="1027"/>
    </row>
    <row r="232" spans="1:16" s="520" customFormat="1" ht="18.75" customHeight="1">
      <c r="A232" s="775"/>
      <c r="B232" s="768"/>
      <c r="C232" s="786" t="s">
        <v>239</v>
      </c>
      <c r="D232" s="939">
        <v>36000000</v>
      </c>
      <c r="E232" s="672">
        <v>36569474</v>
      </c>
      <c r="F232" s="786">
        <f>I232</f>
        <v>36569474</v>
      </c>
      <c r="G232" s="672">
        <f t="shared" si="31"/>
        <v>0</v>
      </c>
      <c r="H232" s="931" t="s">
        <v>601</v>
      </c>
      <c r="I232" s="921">
        <f>I233</f>
        <v>36569474</v>
      </c>
      <c r="J232" s="656"/>
      <c r="K232" s="656"/>
      <c r="L232" s="600"/>
      <c r="M232" s="651"/>
      <c r="N232" s="854">
        <f t="shared" si="32"/>
        <v>36569474</v>
      </c>
      <c r="P232" s="1027"/>
    </row>
    <row r="233" spans="1:16" s="520" customFormat="1" ht="18.75" customHeight="1">
      <c r="A233" s="775"/>
      <c r="B233" s="768"/>
      <c r="C233" s="786"/>
      <c r="D233" s="939"/>
      <c r="E233" s="939"/>
      <c r="F233" s="760"/>
      <c r="G233" s="672">
        <f t="shared" si="31"/>
        <v>0</v>
      </c>
      <c r="H233" s="932" t="s">
        <v>133</v>
      </c>
      <c r="I233" s="746">
        <v>36569474</v>
      </c>
      <c r="J233" s="868"/>
      <c r="K233" s="868"/>
      <c r="L233" s="746" t="s">
        <v>648</v>
      </c>
      <c r="M233" s="651"/>
      <c r="N233" s="658">
        <f>I233</f>
        <v>36569474</v>
      </c>
      <c r="P233" s="1027"/>
    </row>
    <row r="234" spans="1:16" s="520" customFormat="1" ht="18.75" customHeight="1">
      <c r="A234" s="775"/>
      <c r="B234" s="768"/>
      <c r="C234" s="760" t="s">
        <v>240</v>
      </c>
      <c r="D234" s="939">
        <v>18900000</v>
      </c>
      <c r="E234" s="672">
        <v>23788136</v>
      </c>
      <c r="F234" s="786">
        <f>I234</f>
        <v>23788136</v>
      </c>
      <c r="G234" s="672">
        <f t="shared" si="31"/>
        <v>0</v>
      </c>
      <c r="H234" s="929" t="s">
        <v>525</v>
      </c>
      <c r="I234" s="920">
        <f>SUM(I235:I237)</f>
        <v>23788136</v>
      </c>
      <c r="J234" s="848"/>
      <c r="K234" s="848"/>
      <c r="L234" s="869"/>
      <c r="M234" s="871"/>
      <c r="N234" s="724">
        <f t="shared" si="32"/>
        <v>23788136</v>
      </c>
      <c r="P234" s="1027"/>
    </row>
    <row r="235" spans="1:16" s="520" customFormat="1" ht="18.75" customHeight="1">
      <c r="A235" s="775"/>
      <c r="B235" s="768"/>
      <c r="C235" s="760"/>
      <c r="D235" s="939"/>
      <c r="E235" s="939"/>
      <c r="F235" s="760"/>
      <c r="G235" s="672">
        <f t="shared" si="31"/>
        <v>0</v>
      </c>
      <c r="H235" s="928" t="s">
        <v>209</v>
      </c>
      <c r="I235" s="922">
        <v>6227977</v>
      </c>
      <c r="J235" s="844"/>
      <c r="K235" s="844"/>
      <c r="L235" s="845" t="s">
        <v>648</v>
      </c>
      <c r="M235" s="871"/>
      <c r="N235" s="723">
        <f t="shared" ref="N235:N240" si="33">I235</f>
        <v>6227977</v>
      </c>
      <c r="P235" s="1027"/>
    </row>
    <row r="236" spans="1:16" s="520" customFormat="1" ht="18.75" customHeight="1">
      <c r="A236" s="775"/>
      <c r="B236" s="768"/>
      <c r="C236" s="760"/>
      <c r="D236" s="939"/>
      <c r="E236" s="939"/>
      <c r="F236" s="760"/>
      <c r="G236" s="672">
        <f t="shared" si="31"/>
        <v>0</v>
      </c>
      <c r="H236" s="930" t="s">
        <v>208</v>
      </c>
      <c r="I236" s="923">
        <v>4598687</v>
      </c>
      <c r="J236" s="881"/>
      <c r="K236" s="881"/>
      <c r="L236" s="845" t="s">
        <v>648</v>
      </c>
      <c r="M236" s="882"/>
      <c r="N236" s="648">
        <f t="shared" si="33"/>
        <v>4598687</v>
      </c>
      <c r="P236" s="1027"/>
    </row>
    <row r="237" spans="1:16" s="520" customFormat="1" ht="18.75" customHeight="1">
      <c r="A237" s="775"/>
      <c r="B237" s="768"/>
      <c r="C237" s="760"/>
      <c r="D237" s="939"/>
      <c r="E237" s="939"/>
      <c r="F237" s="760"/>
      <c r="G237" s="672">
        <f t="shared" si="31"/>
        <v>0</v>
      </c>
      <c r="H237" s="933" t="s">
        <v>519</v>
      </c>
      <c r="I237" s="924">
        <v>12961472</v>
      </c>
      <c r="J237" s="846"/>
      <c r="K237" s="846"/>
      <c r="L237" s="847" t="s">
        <v>648</v>
      </c>
      <c r="M237" s="651"/>
      <c r="N237" s="652">
        <f t="shared" si="33"/>
        <v>12961472</v>
      </c>
      <c r="P237" s="1027"/>
    </row>
    <row r="238" spans="1:16" s="520" customFormat="1" ht="18.75" customHeight="1">
      <c r="A238" s="775"/>
      <c r="B238" s="768"/>
      <c r="C238" s="760" t="s">
        <v>241</v>
      </c>
      <c r="D238" s="939">
        <v>9942805</v>
      </c>
      <c r="E238" s="672">
        <v>9947762</v>
      </c>
      <c r="F238" s="786">
        <f>I238</f>
        <v>9947762</v>
      </c>
      <c r="G238" s="672">
        <f t="shared" si="31"/>
        <v>0</v>
      </c>
      <c r="H238" s="929" t="s">
        <v>524</v>
      </c>
      <c r="I238" s="920">
        <f>SUM(I239:I240)</f>
        <v>9947762</v>
      </c>
      <c r="J238" s="848"/>
      <c r="K238" s="848"/>
      <c r="L238" s="849"/>
      <c r="M238" s="871"/>
      <c r="N238" s="724">
        <f t="shared" si="33"/>
        <v>9947762</v>
      </c>
      <c r="P238" s="1027"/>
    </row>
    <row r="239" spans="1:16" s="520" customFormat="1" ht="18.75" customHeight="1">
      <c r="A239" s="775"/>
      <c r="B239" s="768"/>
      <c r="C239" s="760"/>
      <c r="D239" s="939"/>
      <c r="E239" s="672"/>
      <c r="F239" s="760"/>
      <c r="G239" s="672">
        <f t="shared" si="31"/>
        <v>0</v>
      </c>
      <c r="H239" s="934" t="s">
        <v>520</v>
      </c>
      <c r="I239" s="849">
        <v>9947585</v>
      </c>
      <c r="J239" s="848"/>
      <c r="K239" s="848"/>
      <c r="L239" s="849" t="s">
        <v>648</v>
      </c>
      <c r="M239" s="882"/>
      <c r="N239" s="655">
        <f t="shared" si="33"/>
        <v>9947585</v>
      </c>
      <c r="P239" s="1027"/>
    </row>
    <row r="240" spans="1:16" s="520" customFormat="1" ht="18.75" customHeight="1" thickBot="1">
      <c r="A240" s="765"/>
      <c r="B240" s="774"/>
      <c r="C240" s="574"/>
      <c r="D240" s="940"/>
      <c r="E240" s="940"/>
      <c r="F240" s="574"/>
      <c r="G240" s="784">
        <f t="shared" si="31"/>
        <v>0</v>
      </c>
      <c r="H240" s="935" t="s">
        <v>627</v>
      </c>
      <c r="I240" s="851">
        <v>177</v>
      </c>
      <c r="J240" s="850"/>
      <c r="K240" s="850"/>
      <c r="L240" s="851" t="s">
        <v>648</v>
      </c>
      <c r="M240" s="873"/>
      <c r="N240" s="729">
        <f t="shared" si="33"/>
        <v>177</v>
      </c>
      <c r="P240" s="1027"/>
    </row>
    <row r="253" spans="4:4">
      <c r="D253" s="761">
        <f>D251-D250</f>
        <v>0</v>
      </c>
    </row>
  </sheetData>
  <mergeCells count="68">
    <mergeCell ref="H82:H83"/>
    <mergeCell ref="H89:H90"/>
    <mergeCell ref="H95:H97"/>
    <mergeCell ref="H103:H104"/>
    <mergeCell ref="H84:H85"/>
    <mergeCell ref="M38:M39"/>
    <mergeCell ref="H111:H112"/>
    <mergeCell ref="H62:H63"/>
    <mergeCell ref="H64:H65"/>
    <mergeCell ref="H66:H67"/>
    <mergeCell ref="H68:H69"/>
    <mergeCell ref="H71:H72"/>
    <mergeCell ref="H38:H39"/>
    <mergeCell ref="H93:H94"/>
    <mergeCell ref="H91:H92"/>
    <mergeCell ref="M93:M94"/>
    <mergeCell ref="H98:H100"/>
    <mergeCell ref="M98:M100"/>
    <mergeCell ref="M95:M97"/>
    <mergeCell ref="H73:H74"/>
    <mergeCell ref="H75:H76"/>
    <mergeCell ref="H25:H26"/>
    <mergeCell ref="M25:M26"/>
    <mergeCell ref="M36:M37"/>
    <mergeCell ref="H36:H37"/>
    <mergeCell ref="H27:H28"/>
    <mergeCell ref="M27:M28"/>
    <mergeCell ref="H29:H30"/>
    <mergeCell ref="M29:M30"/>
    <mergeCell ref="H32:H34"/>
    <mergeCell ref="M32:M34"/>
    <mergeCell ref="A1:N1"/>
    <mergeCell ref="H14:H15"/>
    <mergeCell ref="M14:M15"/>
    <mergeCell ref="H16:H17"/>
    <mergeCell ref="M16:M17"/>
    <mergeCell ref="D3:D4"/>
    <mergeCell ref="E3:E4"/>
    <mergeCell ref="G3:G4"/>
    <mergeCell ref="F3:F4"/>
    <mergeCell ref="H18:H19"/>
    <mergeCell ref="M18:M19"/>
    <mergeCell ref="H20:H21"/>
    <mergeCell ref="M20:M21"/>
    <mergeCell ref="H22:H23"/>
    <mergeCell ref="M22:M23"/>
    <mergeCell ref="H54:H55"/>
    <mergeCell ref="M54:M55"/>
    <mergeCell ref="M176:M178"/>
    <mergeCell ref="M185:M188"/>
    <mergeCell ref="M190:M193"/>
    <mergeCell ref="M103:M104"/>
    <mergeCell ref="M127:M128"/>
    <mergeCell ref="M117:M118"/>
    <mergeCell ref="M111:M112"/>
    <mergeCell ref="M109:M110"/>
    <mergeCell ref="M113:M114"/>
    <mergeCell ref="H109:H110"/>
    <mergeCell ref="H113:H114"/>
    <mergeCell ref="M89:M90"/>
    <mergeCell ref="M91:M92"/>
    <mergeCell ref="H78:H80"/>
    <mergeCell ref="M179:M180"/>
    <mergeCell ref="M181:M182"/>
    <mergeCell ref="H117:H118"/>
    <mergeCell ref="H125:H126"/>
    <mergeCell ref="H127:H128"/>
    <mergeCell ref="H122:H123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41" fitToHeight="0" orientation="landscape" r:id="rId1"/>
  <headerFooter alignWithMargins="0"/>
  <rowBreaks count="5" manualBreakCount="5">
    <brk id="41" max="13" man="1"/>
    <brk id="81" max="13" man="1"/>
    <brk id="119" max="13" man="1"/>
    <brk id="159" max="13" man="1"/>
    <brk id="204" max="1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066EB-E3B3-4D00-A0C1-A53011FE950A}">
  <sheetPr>
    <pageSetUpPr fitToPage="1"/>
  </sheetPr>
  <dimension ref="A1:X361"/>
  <sheetViews>
    <sheetView tabSelected="1" view="pageBreakPreview" topLeftCell="E1" zoomScale="85" zoomScaleNormal="85" zoomScaleSheetLayoutView="85" workbookViewId="0">
      <pane ySplit="5" topLeftCell="A276" activePane="bottomLeft" state="frozen"/>
      <selection activeCell="B19" sqref="B19"/>
      <selection pane="bottomLeft" activeCell="G5" sqref="G5"/>
    </sheetView>
  </sheetViews>
  <sheetFormatPr defaultRowHeight="14.25"/>
  <cols>
    <col min="1" max="1" width="17.77734375" style="761" bestFit="1" customWidth="1"/>
    <col min="2" max="2" width="16" style="761" bestFit="1" customWidth="1"/>
    <col min="3" max="3" width="33.5546875" style="761" bestFit="1" customWidth="1"/>
    <col min="4" max="5" width="17.77734375" style="761" bestFit="1" customWidth="1"/>
    <col min="6" max="6" width="17.77734375" style="761" customWidth="1"/>
    <col min="7" max="7" width="18.5546875" style="761" customWidth="1"/>
    <col min="8" max="8" width="39.21875" style="1418" customWidth="1"/>
    <col min="9" max="9" width="17.44140625" style="1419" bestFit="1" customWidth="1"/>
    <col min="10" max="10" width="7.44140625" style="1418" bestFit="1" customWidth="1"/>
    <col min="11" max="11" width="11.5546875" style="1418" bestFit="1" customWidth="1"/>
    <col min="12" max="12" width="39.6640625" style="1420" customWidth="1"/>
    <col min="13" max="13" width="14.5546875" style="1420" bestFit="1" customWidth="1"/>
    <col min="14" max="14" width="17.77734375" style="1418" bestFit="1" customWidth="1"/>
    <col min="15" max="15" width="25.88671875" style="438" bestFit="1" customWidth="1"/>
    <col min="16" max="16" width="15.44140625" style="438" bestFit="1" customWidth="1"/>
    <col min="17" max="19" width="12.6640625" style="438" bestFit="1" customWidth="1"/>
    <col min="20" max="20" width="12.6640625" style="438" customWidth="1"/>
    <col min="21" max="23" width="12.6640625" style="438" bestFit="1" customWidth="1"/>
    <col min="24" max="24" width="13.77734375" style="438" bestFit="1" customWidth="1"/>
    <col min="25" max="259" width="8.88671875" style="438"/>
    <col min="260" max="260" width="10.109375" style="438" bestFit="1" customWidth="1"/>
    <col min="261" max="261" width="11.5546875" style="438" bestFit="1" customWidth="1"/>
    <col min="262" max="262" width="26.109375" style="438" bestFit="1" customWidth="1"/>
    <col min="263" max="264" width="13.77734375" style="438" customWidth="1"/>
    <col min="265" max="265" width="0" style="438" hidden="1" customWidth="1"/>
    <col min="266" max="266" width="14" style="438" bestFit="1" customWidth="1"/>
    <col min="267" max="267" width="26.44140625" style="438" customWidth="1"/>
    <col min="268" max="268" width="10.6640625" style="438" customWidth="1"/>
    <col min="269" max="269" width="17.88671875" style="438" customWidth="1"/>
    <col min="270" max="270" width="14.109375" style="438" bestFit="1" customWidth="1"/>
    <col min="271" max="271" width="12.6640625" style="438" customWidth="1"/>
    <col min="272" max="272" width="15.6640625" style="438" bestFit="1" customWidth="1"/>
    <col min="273" max="273" width="14.109375" style="438" bestFit="1" customWidth="1"/>
    <col min="274" max="274" width="8.88671875" style="438"/>
    <col min="275" max="275" width="15.88671875" style="438" customWidth="1"/>
    <col min="276" max="515" width="8.88671875" style="438"/>
    <col min="516" max="516" width="10.109375" style="438" bestFit="1" customWidth="1"/>
    <col min="517" max="517" width="11.5546875" style="438" bestFit="1" customWidth="1"/>
    <col min="518" max="518" width="26.109375" style="438" bestFit="1" customWidth="1"/>
    <col min="519" max="520" width="13.77734375" style="438" customWidth="1"/>
    <col min="521" max="521" width="0" style="438" hidden="1" customWidth="1"/>
    <col min="522" max="522" width="14" style="438" bestFit="1" customWidth="1"/>
    <col min="523" max="523" width="26.44140625" style="438" customWidth="1"/>
    <col min="524" max="524" width="10.6640625" style="438" customWidth="1"/>
    <col min="525" max="525" width="17.88671875" style="438" customWidth="1"/>
    <col min="526" max="526" width="14.109375" style="438" bestFit="1" customWidth="1"/>
    <col min="527" max="527" width="12.6640625" style="438" customWidth="1"/>
    <col min="528" max="528" width="15.6640625" style="438" bestFit="1" customWidth="1"/>
    <col min="529" max="529" width="14.109375" style="438" bestFit="1" customWidth="1"/>
    <col min="530" max="530" width="8.88671875" style="438"/>
    <col min="531" max="531" width="15.88671875" style="438" customWidth="1"/>
    <col min="532" max="771" width="8.88671875" style="438"/>
    <col min="772" max="772" width="10.109375" style="438" bestFit="1" customWidth="1"/>
    <col min="773" max="773" width="11.5546875" style="438" bestFit="1" customWidth="1"/>
    <col min="774" max="774" width="26.109375" style="438" bestFit="1" customWidth="1"/>
    <col min="775" max="776" width="13.77734375" style="438" customWidth="1"/>
    <col min="777" max="777" width="0" style="438" hidden="1" customWidth="1"/>
    <col min="778" max="778" width="14" style="438" bestFit="1" customWidth="1"/>
    <col min="779" max="779" width="26.44140625" style="438" customWidth="1"/>
    <col min="780" max="780" width="10.6640625" style="438" customWidth="1"/>
    <col min="781" max="781" width="17.88671875" style="438" customWidth="1"/>
    <col min="782" max="782" width="14.109375" style="438" bestFit="1" customWidth="1"/>
    <col min="783" max="783" width="12.6640625" style="438" customWidth="1"/>
    <col min="784" max="784" width="15.6640625" style="438" bestFit="1" customWidth="1"/>
    <col min="785" max="785" width="14.109375" style="438" bestFit="1" customWidth="1"/>
    <col min="786" max="786" width="8.88671875" style="438"/>
    <col min="787" max="787" width="15.88671875" style="438" customWidth="1"/>
    <col min="788" max="1027" width="8.88671875" style="438"/>
    <col min="1028" max="1028" width="10.109375" style="438" bestFit="1" customWidth="1"/>
    <col min="1029" max="1029" width="11.5546875" style="438" bestFit="1" customWidth="1"/>
    <col min="1030" max="1030" width="26.109375" style="438" bestFit="1" customWidth="1"/>
    <col min="1031" max="1032" width="13.77734375" style="438" customWidth="1"/>
    <col min="1033" max="1033" width="0" style="438" hidden="1" customWidth="1"/>
    <col min="1034" max="1034" width="14" style="438" bestFit="1" customWidth="1"/>
    <col min="1035" max="1035" width="26.44140625" style="438" customWidth="1"/>
    <col min="1036" max="1036" width="10.6640625" style="438" customWidth="1"/>
    <col min="1037" max="1037" width="17.88671875" style="438" customWidth="1"/>
    <col min="1038" max="1038" width="14.109375" style="438" bestFit="1" customWidth="1"/>
    <col min="1039" max="1039" width="12.6640625" style="438" customWidth="1"/>
    <col min="1040" max="1040" width="15.6640625" style="438" bestFit="1" customWidth="1"/>
    <col min="1041" max="1041" width="14.109375" style="438" bestFit="1" customWidth="1"/>
    <col min="1042" max="1042" width="8.88671875" style="438"/>
    <col min="1043" max="1043" width="15.88671875" style="438" customWidth="1"/>
    <col min="1044" max="1283" width="8.88671875" style="438"/>
    <col min="1284" max="1284" width="10.109375" style="438" bestFit="1" customWidth="1"/>
    <col min="1285" max="1285" width="11.5546875" style="438" bestFit="1" customWidth="1"/>
    <col min="1286" max="1286" width="26.109375" style="438" bestFit="1" customWidth="1"/>
    <col min="1287" max="1288" width="13.77734375" style="438" customWidth="1"/>
    <col min="1289" max="1289" width="0" style="438" hidden="1" customWidth="1"/>
    <col min="1290" max="1290" width="14" style="438" bestFit="1" customWidth="1"/>
    <col min="1291" max="1291" width="26.44140625" style="438" customWidth="1"/>
    <col min="1292" max="1292" width="10.6640625" style="438" customWidth="1"/>
    <col min="1293" max="1293" width="17.88671875" style="438" customWidth="1"/>
    <col min="1294" max="1294" width="14.109375" style="438" bestFit="1" customWidth="1"/>
    <col min="1295" max="1295" width="12.6640625" style="438" customWidth="1"/>
    <col min="1296" max="1296" width="15.6640625" style="438" bestFit="1" customWidth="1"/>
    <col min="1297" max="1297" width="14.109375" style="438" bestFit="1" customWidth="1"/>
    <col min="1298" max="1298" width="8.88671875" style="438"/>
    <col min="1299" max="1299" width="15.88671875" style="438" customWidth="1"/>
    <col min="1300" max="1539" width="8.88671875" style="438"/>
    <col min="1540" max="1540" width="10.109375" style="438" bestFit="1" customWidth="1"/>
    <col min="1541" max="1541" width="11.5546875" style="438" bestFit="1" customWidth="1"/>
    <col min="1542" max="1542" width="26.109375" style="438" bestFit="1" customWidth="1"/>
    <col min="1543" max="1544" width="13.77734375" style="438" customWidth="1"/>
    <col min="1545" max="1545" width="0" style="438" hidden="1" customWidth="1"/>
    <col min="1546" max="1546" width="14" style="438" bestFit="1" customWidth="1"/>
    <col min="1547" max="1547" width="26.44140625" style="438" customWidth="1"/>
    <col min="1548" max="1548" width="10.6640625" style="438" customWidth="1"/>
    <col min="1549" max="1549" width="17.88671875" style="438" customWidth="1"/>
    <col min="1550" max="1550" width="14.109375" style="438" bestFit="1" customWidth="1"/>
    <col min="1551" max="1551" width="12.6640625" style="438" customWidth="1"/>
    <col min="1552" max="1552" width="15.6640625" style="438" bestFit="1" customWidth="1"/>
    <col min="1553" max="1553" width="14.109375" style="438" bestFit="1" customWidth="1"/>
    <col min="1554" max="1554" width="8.88671875" style="438"/>
    <col min="1555" max="1555" width="15.88671875" style="438" customWidth="1"/>
    <col min="1556" max="1795" width="8.88671875" style="438"/>
    <col min="1796" max="1796" width="10.109375" style="438" bestFit="1" customWidth="1"/>
    <col min="1797" max="1797" width="11.5546875" style="438" bestFit="1" customWidth="1"/>
    <col min="1798" max="1798" width="26.109375" style="438" bestFit="1" customWidth="1"/>
    <col min="1799" max="1800" width="13.77734375" style="438" customWidth="1"/>
    <col min="1801" max="1801" width="0" style="438" hidden="1" customWidth="1"/>
    <col min="1802" max="1802" width="14" style="438" bestFit="1" customWidth="1"/>
    <col min="1803" max="1803" width="26.44140625" style="438" customWidth="1"/>
    <col min="1804" max="1804" width="10.6640625" style="438" customWidth="1"/>
    <col min="1805" max="1805" width="17.88671875" style="438" customWidth="1"/>
    <col min="1806" max="1806" width="14.109375" style="438" bestFit="1" customWidth="1"/>
    <col min="1807" max="1807" width="12.6640625" style="438" customWidth="1"/>
    <col min="1808" max="1808" width="15.6640625" style="438" bestFit="1" customWidth="1"/>
    <col min="1809" max="1809" width="14.109375" style="438" bestFit="1" customWidth="1"/>
    <col min="1810" max="1810" width="8.88671875" style="438"/>
    <col min="1811" max="1811" width="15.88671875" style="438" customWidth="1"/>
    <col min="1812" max="2051" width="8.88671875" style="438"/>
    <col min="2052" max="2052" width="10.109375" style="438" bestFit="1" customWidth="1"/>
    <col min="2053" max="2053" width="11.5546875" style="438" bestFit="1" customWidth="1"/>
    <col min="2054" max="2054" width="26.109375" style="438" bestFit="1" customWidth="1"/>
    <col min="2055" max="2056" width="13.77734375" style="438" customWidth="1"/>
    <col min="2057" max="2057" width="0" style="438" hidden="1" customWidth="1"/>
    <col min="2058" max="2058" width="14" style="438" bestFit="1" customWidth="1"/>
    <col min="2059" max="2059" width="26.44140625" style="438" customWidth="1"/>
    <col min="2060" max="2060" width="10.6640625" style="438" customWidth="1"/>
    <col min="2061" max="2061" width="17.88671875" style="438" customWidth="1"/>
    <col min="2062" max="2062" width="14.109375" style="438" bestFit="1" customWidth="1"/>
    <col min="2063" max="2063" width="12.6640625" style="438" customWidth="1"/>
    <col min="2064" max="2064" width="15.6640625" style="438" bestFit="1" customWidth="1"/>
    <col min="2065" max="2065" width="14.109375" style="438" bestFit="1" customWidth="1"/>
    <col min="2066" max="2066" width="8.88671875" style="438"/>
    <col min="2067" max="2067" width="15.88671875" style="438" customWidth="1"/>
    <col min="2068" max="2307" width="8.88671875" style="438"/>
    <col min="2308" max="2308" width="10.109375" style="438" bestFit="1" customWidth="1"/>
    <col min="2309" max="2309" width="11.5546875" style="438" bestFit="1" customWidth="1"/>
    <col min="2310" max="2310" width="26.109375" style="438" bestFit="1" customWidth="1"/>
    <col min="2311" max="2312" width="13.77734375" style="438" customWidth="1"/>
    <col min="2313" max="2313" width="0" style="438" hidden="1" customWidth="1"/>
    <col min="2314" max="2314" width="14" style="438" bestFit="1" customWidth="1"/>
    <col min="2315" max="2315" width="26.44140625" style="438" customWidth="1"/>
    <col min="2316" max="2316" width="10.6640625" style="438" customWidth="1"/>
    <col min="2317" max="2317" width="17.88671875" style="438" customWidth="1"/>
    <col min="2318" max="2318" width="14.109375" style="438" bestFit="1" customWidth="1"/>
    <col min="2319" max="2319" width="12.6640625" style="438" customWidth="1"/>
    <col min="2320" max="2320" width="15.6640625" style="438" bestFit="1" customWidth="1"/>
    <col min="2321" max="2321" width="14.109375" style="438" bestFit="1" customWidth="1"/>
    <col min="2322" max="2322" width="8.88671875" style="438"/>
    <col min="2323" max="2323" width="15.88671875" style="438" customWidth="1"/>
    <col min="2324" max="2563" width="8.88671875" style="438"/>
    <col min="2564" max="2564" width="10.109375" style="438" bestFit="1" customWidth="1"/>
    <col min="2565" max="2565" width="11.5546875" style="438" bestFit="1" customWidth="1"/>
    <col min="2566" max="2566" width="26.109375" style="438" bestFit="1" customWidth="1"/>
    <col min="2567" max="2568" width="13.77734375" style="438" customWidth="1"/>
    <col min="2569" max="2569" width="0" style="438" hidden="1" customWidth="1"/>
    <col min="2570" max="2570" width="14" style="438" bestFit="1" customWidth="1"/>
    <col min="2571" max="2571" width="26.44140625" style="438" customWidth="1"/>
    <col min="2572" max="2572" width="10.6640625" style="438" customWidth="1"/>
    <col min="2573" max="2573" width="17.88671875" style="438" customWidth="1"/>
    <col min="2574" max="2574" width="14.109375" style="438" bestFit="1" customWidth="1"/>
    <col min="2575" max="2575" width="12.6640625" style="438" customWidth="1"/>
    <col min="2576" max="2576" width="15.6640625" style="438" bestFit="1" customWidth="1"/>
    <col min="2577" max="2577" width="14.109375" style="438" bestFit="1" customWidth="1"/>
    <col min="2578" max="2578" width="8.88671875" style="438"/>
    <col min="2579" max="2579" width="15.88671875" style="438" customWidth="1"/>
    <col min="2580" max="2819" width="8.88671875" style="438"/>
    <col min="2820" max="2820" width="10.109375" style="438" bestFit="1" customWidth="1"/>
    <col min="2821" max="2821" width="11.5546875" style="438" bestFit="1" customWidth="1"/>
    <col min="2822" max="2822" width="26.109375" style="438" bestFit="1" customWidth="1"/>
    <col min="2823" max="2824" width="13.77734375" style="438" customWidth="1"/>
    <col min="2825" max="2825" width="0" style="438" hidden="1" customWidth="1"/>
    <col min="2826" max="2826" width="14" style="438" bestFit="1" customWidth="1"/>
    <col min="2827" max="2827" width="26.44140625" style="438" customWidth="1"/>
    <col min="2828" max="2828" width="10.6640625" style="438" customWidth="1"/>
    <col min="2829" max="2829" width="17.88671875" style="438" customWidth="1"/>
    <col min="2830" max="2830" width="14.109375" style="438" bestFit="1" customWidth="1"/>
    <col min="2831" max="2831" width="12.6640625" style="438" customWidth="1"/>
    <col min="2832" max="2832" width="15.6640625" style="438" bestFit="1" customWidth="1"/>
    <col min="2833" max="2833" width="14.109375" style="438" bestFit="1" customWidth="1"/>
    <col min="2834" max="2834" width="8.88671875" style="438"/>
    <col min="2835" max="2835" width="15.88671875" style="438" customWidth="1"/>
    <col min="2836" max="3075" width="8.88671875" style="438"/>
    <col min="3076" max="3076" width="10.109375" style="438" bestFit="1" customWidth="1"/>
    <col min="3077" max="3077" width="11.5546875" style="438" bestFit="1" customWidth="1"/>
    <col min="3078" max="3078" width="26.109375" style="438" bestFit="1" customWidth="1"/>
    <col min="3079" max="3080" width="13.77734375" style="438" customWidth="1"/>
    <col min="3081" max="3081" width="0" style="438" hidden="1" customWidth="1"/>
    <col min="3082" max="3082" width="14" style="438" bestFit="1" customWidth="1"/>
    <col min="3083" max="3083" width="26.44140625" style="438" customWidth="1"/>
    <col min="3084" max="3084" width="10.6640625" style="438" customWidth="1"/>
    <col min="3085" max="3085" width="17.88671875" style="438" customWidth="1"/>
    <col min="3086" max="3086" width="14.109375" style="438" bestFit="1" customWidth="1"/>
    <col min="3087" max="3087" width="12.6640625" style="438" customWidth="1"/>
    <col min="3088" max="3088" width="15.6640625" style="438" bestFit="1" customWidth="1"/>
    <col min="3089" max="3089" width="14.109375" style="438" bestFit="1" customWidth="1"/>
    <col min="3090" max="3090" width="8.88671875" style="438"/>
    <col min="3091" max="3091" width="15.88671875" style="438" customWidth="1"/>
    <col min="3092" max="3331" width="8.88671875" style="438"/>
    <col min="3332" max="3332" width="10.109375" style="438" bestFit="1" customWidth="1"/>
    <col min="3333" max="3333" width="11.5546875" style="438" bestFit="1" customWidth="1"/>
    <col min="3334" max="3334" width="26.109375" style="438" bestFit="1" customWidth="1"/>
    <col min="3335" max="3336" width="13.77734375" style="438" customWidth="1"/>
    <col min="3337" max="3337" width="0" style="438" hidden="1" customWidth="1"/>
    <col min="3338" max="3338" width="14" style="438" bestFit="1" customWidth="1"/>
    <col min="3339" max="3339" width="26.44140625" style="438" customWidth="1"/>
    <col min="3340" max="3340" width="10.6640625" style="438" customWidth="1"/>
    <col min="3341" max="3341" width="17.88671875" style="438" customWidth="1"/>
    <col min="3342" max="3342" width="14.109375" style="438" bestFit="1" customWidth="1"/>
    <col min="3343" max="3343" width="12.6640625" style="438" customWidth="1"/>
    <col min="3344" max="3344" width="15.6640625" style="438" bestFit="1" customWidth="1"/>
    <col min="3345" max="3345" width="14.109375" style="438" bestFit="1" customWidth="1"/>
    <col min="3346" max="3346" width="8.88671875" style="438"/>
    <col min="3347" max="3347" width="15.88671875" style="438" customWidth="1"/>
    <col min="3348" max="3587" width="8.88671875" style="438"/>
    <col min="3588" max="3588" width="10.109375" style="438" bestFit="1" customWidth="1"/>
    <col min="3589" max="3589" width="11.5546875" style="438" bestFit="1" customWidth="1"/>
    <col min="3590" max="3590" width="26.109375" style="438" bestFit="1" customWidth="1"/>
    <col min="3591" max="3592" width="13.77734375" style="438" customWidth="1"/>
    <col min="3593" max="3593" width="0" style="438" hidden="1" customWidth="1"/>
    <col min="3594" max="3594" width="14" style="438" bestFit="1" customWidth="1"/>
    <col min="3595" max="3595" width="26.44140625" style="438" customWidth="1"/>
    <col min="3596" max="3596" width="10.6640625" style="438" customWidth="1"/>
    <col min="3597" max="3597" width="17.88671875" style="438" customWidth="1"/>
    <col min="3598" max="3598" width="14.109375" style="438" bestFit="1" customWidth="1"/>
    <col min="3599" max="3599" width="12.6640625" style="438" customWidth="1"/>
    <col min="3600" max="3600" width="15.6640625" style="438" bestFit="1" customWidth="1"/>
    <col min="3601" max="3601" width="14.109375" style="438" bestFit="1" customWidth="1"/>
    <col min="3602" max="3602" width="8.88671875" style="438"/>
    <col min="3603" max="3603" width="15.88671875" style="438" customWidth="1"/>
    <col min="3604" max="3843" width="8.88671875" style="438"/>
    <col min="3844" max="3844" width="10.109375" style="438" bestFit="1" customWidth="1"/>
    <col min="3845" max="3845" width="11.5546875" style="438" bestFit="1" customWidth="1"/>
    <col min="3846" max="3846" width="26.109375" style="438" bestFit="1" customWidth="1"/>
    <col min="3847" max="3848" width="13.77734375" style="438" customWidth="1"/>
    <col min="3849" max="3849" width="0" style="438" hidden="1" customWidth="1"/>
    <col min="3850" max="3850" width="14" style="438" bestFit="1" customWidth="1"/>
    <col min="3851" max="3851" width="26.44140625" style="438" customWidth="1"/>
    <col min="3852" max="3852" width="10.6640625" style="438" customWidth="1"/>
    <col min="3853" max="3853" width="17.88671875" style="438" customWidth="1"/>
    <col min="3854" max="3854" width="14.109375" style="438" bestFit="1" customWidth="1"/>
    <col min="3855" max="3855" width="12.6640625" style="438" customWidth="1"/>
    <col min="3856" max="3856" width="15.6640625" style="438" bestFit="1" customWidth="1"/>
    <col min="3857" max="3857" width="14.109375" style="438" bestFit="1" customWidth="1"/>
    <col min="3858" max="3858" width="8.88671875" style="438"/>
    <col min="3859" max="3859" width="15.88671875" style="438" customWidth="1"/>
    <col min="3860" max="4099" width="8.88671875" style="438"/>
    <col min="4100" max="4100" width="10.109375" style="438" bestFit="1" customWidth="1"/>
    <col min="4101" max="4101" width="11.5546875" style="438" bestFit="1" customWidth="1"/>
    <col min="4102" max="4102" width="26.109375" style="438" bestFit="1" customWidth="1"/>
    <col min="4103" max="4104" width="13.77734375" style="438" customWidth="1"/>
    <col min="4105" max="4105" width="0" style="438" hidden="1" customWidth="1"/>
    <col min="4106" max="4106" width="14" style="438" bestFit="1" customWidth="1"/>
    <col min="4107" max="4107" width="26.44140625" style="438" customWidth="1"/>
    <col min="4108" max="4108" width="10.6640625" style="438" customWidth="1"/>
    <col min="4109" max="4109" width="17.88671875" style="438" customWidth="1"/>
    <col min="4110" max="4110" width="14.109375" style="438" bestFit="1" customWidth="1"/>
    <col min="4111" max="4111" width="12.6640625" style="438" customWidth="1"/>
    <col min="4112" max="4112" width="15.6640625" style="438" bestFit="1" customWidth="1"/>
    <col min="4113" max="4113" width="14.109375" style="438" bestFit="1" customWidth="1"/>
    <col min="4114" max="4114" width="8.88671875" style="438"/>
    <col min="4115" max="4115" width="15.88671875" style="438" customWidth="1"/>
    <col min="4116" max="4355" width="8.88671875" style="438"/>
    <col min="4356" max="4356" width="10.109375" style="438" bestFit="1" customWidth="1"/>
    <col min="4357" max="4357" width="11.5546875" style="438" bestFit="1" customWidth="1"/>
    <col min="4358" max="4358" width="26.109375" style="438" bestFit="1" customWidth="1"/>
    <col min="4359" max="4360" width="13.77734375" style="438" customWidth="1"/>
    <col min="4361" max="4361" width="0" style="438" hidden="1" customWidth="1"/>
    <col min="4362" max="4362" width="14" style="438" bestFit="1" customWidth="1"/>
    <col min="4363" max="4363" width="26.44140625" style="438" customWidth="1"/>
    <col min="4364" max="4364" width="10.6640625" style="438" customWidth="1"/>
    <col min="4365" max="4365" width="17.88671875" style="438" customWidth="1"/>
    <col min="4366" max="4366" width="14.109375" style="438" bestFit="1" customWidth="1"/>
    <col min="4367" max="4367" width="12.6640625" style="438" customWidth="1"/>
    <col min="4368" max="4368" width="15.6640625" style="438" bestFit="1" customWidth="1"/>
    <col min="4369" max="4369" width="14.109375" style="438" bestFit="1" customWidth="1"/>
    <col min="4370" max="4370" width="8.88671875" style="438"/>
    <col min="4371" max="4371" width="15.88671875" style="438" customWidth="1"/>
    <col min="4372" max="4611" width="8.88671875" style="438"/>
    <col min="4612" max="4612" width="10.109375" style="438" bestFit="1" customWidth="1"/>
    <col min="4613" max="4613" width="11.5546875" style="438" bestFit="1" customWidth="1"/>
    <col min="4614" max="4614" width="26.109375" style="438" bestFit="1" customWidth="1"/>
    <col min="4615" max="4616" width="13.77734375" style="438" customWidth="1"/>
    <col min="4617" max="4617" width="0" style="438" hidden="1" customWidth="1"/>
    <col min="4618" max="4618" width="14" style="438" bestFit="1" customWidth="1"/>
    <col min="4619" max="4619" width="26.44140625" style="438" customWidth="1"/>
    <col min="4620" max="4620" width="10.6640625" style="438" customWidth="1"/>
    <col min="4621" max="4621" width="17.88671875" style="438" customWidth="1"/>
    <col min="4622" max="4622" width="14.109375" style="438" bestFit="1" customWidth="1"/>
    <col min="4623" max="4623" width="12.6640625" style="438" customWidth="1"/>
    <col min="4624" max="4624" width="15.6640625" style="438" bestFit="1" customWidth="1"/>
    <col min="4625" max="4625" width="14.109375" style="438" bestFit="1" customWidth="1"/>
    <col min="4626" max="4626" width="8.88671875" style="438"/>
    <col min="4627" max="4627" width="15.88671875" style="438" customWidth="1"/>
    <col min="4628" max="4867" width="8.88671875" style="438"/>
    <col min="4868" max="4868" width="10.109375" style="438" bestFit="1" customWidth="1"/>
    <col min="4869" max="4869" width="11.5546875" style="438" bestFit="1" customWidth="1"/>
    <col min="4870" max="4870" width="26.109375" style="438" bestFit="1" customWidth="1"/>
    <col min="4871" max="4872" width="13.77734375" style="438" customWidth="1"/>
    <col min="4873" max="4873" width="0" style="438" hidden="1" customWidth="1"/>
    <col min="4874" max="4874" width="14" style="438" bestFit="1" customWidth="1"/>
    <col min="4875" max="4875" width="26.44140625" style="438" customWidth="1"/>
    <col min="4876" max="4876" width="10.6640625" style="438" customWidth="1"/>
    <col min="4877" max="4877" width="17.88671875" style="438" customWidth="1"/>
    <col min="4878" max="4878" width="14.109375" style="438" bestFit="1" customWidth="1"/>
    <col min="4879" max="4879" width="12.6640625" style="438" customWidth="1"/>
    <col min="4880" max="4880" width="15.6640625" style="438" bestFit="1" customWidth="1"/>
    <col min="4881" max="4881" width="14.109375" style="438" bestFit="1" customWidth="1"/>
    <col min="4882" max="4882" width="8.88671875" style="438"/>
    <col min="4883" max="4883" width="15.88671875" style="438" customWidth="1"/>
    <col min="4884" max="5123" width="8.88671875" style="438"/>
    <col min="5124" max="5124" width="10.109375" style="438" bestFit="1" customWidth="1"/>
    <col min="5125" max="5125" width="11.5546875" style="438" bestFit="1" customWidth="1"/>
    <col min="5126" max="5126" width="26.109375" style="438" bestFit="1" customWidth="1"/>
    <col min="5127" max="5128" width="13.77734375" style="438" customWidth="1"/>
    <col min="5129" max="5129" width="0" style="438" hidden="1" customWidth="1"/>
    <col min="5130" max="5130" width="14" style="438" bestFit="1" customWidth="1"/>
    <col min="5131" max="5131" width="26.44140625" style="438" customWidth="1"/>
    <col min="5132" max="5132" width="10.6640625" style="438" customWidth="1"/>
    <col min="5133" max="5133" width="17.88671875" style="438" customWidth="1"/>
    <col min="5134" max="5134" width="14.109375" style="438" bestFit="1" customWidth="1"/>
    <col min="5135" max="5135" width="12.6640625" style="438" customWidth="1"/>
    <col min="5136" max="5136" width="15.6640625" style="438" bestFit="1" customWidth="1"/>
    <col min="5137" max="5137" width="14.109375" style="438" bestFit="1" customWidth="1"/>
    <col min="5138" max="5138" width="8.88671875" style="438"/>
    <col min="5139" max="5139" width="15.88671875" style="438" customWidth="1"/>
    <col min="5140" max="5379" width="8.88671875" style="438"/>
    <col min="5380" max="5380" width="10.109375" style="438" bestFit="1" customWidth="1"/>
    <col min="5381" max="5381" width="11.5546875" style="438" bestFit="1" customWidth="1"/>
    <col min="5382" max="5382" width="26.109375" style="438" bestFit="1" customWidth="1"/>
    <col min="5383" max="5384" width="13.77734375" style="438" customWidth="1"/>
    <col min="5385" max="5385" width="0" style="438" hidden="1" customWidth="1"/>
    <col min="5386" max="5386" width="14" style="438" bestFit="1" customWidth="1"/>
    <col min="5387" max="5387" width="26.44140625" style="438" customWidth="1"/>
    <col min="5388" max="5388" width="10.6640625" style="438" customWidth="1"/>
    <col min="5389" max="5389" width="17.88671875" style="438" customWidth="1"/>
    <col min="5390" max="5390" width="14.109375" style="438" bestFit="1" customWidth="1"/>
    <col min="5391" max="5391" width="12.6640625" style="438" customWidth="1"/>
    <col min="5392" max="5392" width="15.6640625" style="438" bestFit="1" customWidth="1"/>
    <col min="5393" max="5393" width="14.109375" style="438" bestFit="1" customWidth="1"/>
    <col min="5394" max="5394" width="8.88671875" style="438"/>
    <col min="5395" max="5395" width="15.88671875" style="438" customWidth="1"/>
    <col min="5396" max="5635" width="8.88671875" style="438"/>
    <col min="5636" max="5636" width="10.109375" style="438" bestFit="1" customWidth="1"/>
    <col min="5637" max="5637" width="11.5546875" style="438" bestFit="1" customWidth="1"/>
    <col min="5638" max="5638" width="26.109375" style="438" bestFit="1" customWidth="1"/>
    <col min="5639" max="5640" width="13.77734375" style="438" customWidth="1"/>
    <col min="5641" max="5641" width="0" style="438" hidden="1" customWidth="1"/>
    <col min="5642" max="5642" width="14" style="438" bestFit="1" customWidth="1"/>
    <col min="5643" max="5643" width="26.44140625" style="438" customWidth="1"/>
    <col min="5644" max="5644" width="10.6640625" style="438" customWidth="1"/>
    <col min="5645" max="5645" width="17.88671875" style="438" customWidth="1"/>
    <col min="5646" max="5646" width="14.109375" style="438" bestFit="1" customWidth="1"/>
    <col min="5647" max="5647" width="12.6640625" style="438" customWidth="1"/>
    <col min="5648" max="5648" width="15.6640625" style="438" bestFit="1" customWidth="1"/>
    <col min="5649" max="5649" width="14.109375" style="438" bestFit="1" customWidth="1"/>
    <col min="5650" max="5650" width="8.88671875" style="438"/>
    <col min="5651" max="5651" width="15.88671875" style="438" customWidth="1"/>
    <col min="5652" max="5891" width="8.88671875" style="438"/>
    <col min="5892" max="5892" width="10.109375" style="438" bestFit="1" customWidth="1"/>
    <col min="5893" max="5893" width="11.5546875" style="438" bestFit="1" customWidth="1"/>
    <col min="5894" max="5894" width="26.109375" style="438" bestFit="1" customWidth="1"/>
    <col min="5895" max="5896" width="13.77734375" style="438" customWidth="1"/>
    <col min="5897" max="5897" width="0" style="438" hidden="1" customWidth="1"/>
    <col min="5898" max="5898" width="14" style="438" bestFit="1" customWidth="1"/>
    <col min="5899" max="5899" width="26.44140625" style="438" customWidth="1"/>
    <col min="5900" max="5900" width="10.6640625" style="438" customWidth="1"/>
    <col min="5901" max="5901" width="17.88671875" style="438" customWidth="1"/>
    <col min="5902" max="5902" width="14.109375" style="438" bestFit="1" customWidth="1"/>
    <col min="5903" max="5903" width="12.6640625" style="438" customWidth="1"/>
    <col min="5904" max="5904" width="15.6640625" style="438" bestFit="1" customWidth="1"/>
    <col min="5905" max="5905" width="14.109375" style="438" bestFit="1" customWidth="1"/>
    <col min="5906" max="5906" width="8.88671875" style="438"/>
    <col min="5907" max="5907" width="15.88671875" style="438" customWidth="1"/>
    <col min="5908" max="6147" width="8.88671875" style="438"/>
    <col min="6148" max="6148" width="10.109375" style="438" bestFit="1" customWidth="1"/>
    <col min="6149" max="6149" width="11.5546875" style="438" bestFit="1" customWidth="1"/>
    <col min="6150" max="6150" width="26.109375" style="438" bestFit="1" customWidth="1"/>
    <col min="6151" max="6152" width="13.77734375" style="438" customWidth="1"/>
    <col min="6153" max="6153" width="0" style="438" hidden="1" customWidth="1"/>
    <col min="6154" max="6154" width="14" style="438" bestFit="1" customWidth="1"/>
    <col min="6155" max="6155" width="26.44140625" style="438" customWidth="1"/>
    <col min="6156" max="6156" width="10.6640625" style="438" customWidth="1"/>
    <col min="6157" max="6157" width="17.88671875" style="438" customWidth="1"/>
    <col min="6158" max="6158" width="14.109375" style="438" bestFit="1" customWidth="1"/>
    <col min="6159" max="6159" width="12.6640625" style="438" customWidth="1"/>
    <col min="6160" max="6160" width="15.6640625" style="438" bestFit="1" customWidth="1"/>
    <col min="6161" max="6161" width="14.109375" style="438" bestFit="1" customWidth="1"/>
    <col min="6162" max="6162" width="8.88671875" style="438"/>
    <col min="6163" max="6163" width="15.88671875" style="438" customWidth="1"/>
    <col min="6164" max="6403" width="8.88671875" style="438"/>
    <col min="6404" max="6404" width="10.109375" style="438" bestFit="1" customWidth="1"/>
    <col min="6405" max="6405" width="11.5546875" style="438" bestFit="1" customWidth="1"/>
    <col min="6406" max="6406" width="26.109375" style="438" bestFit="1" customWidth="1"/>
    <col min="6407" max="6408" width="13.77734375" style="438" customWidth="1"/>
    <col min="6409" max="6409" width="0" style="438" hidden="1" customWidth="1"/>
    <col min="6410" max="6410" width="14" style="438" bestFit="1" customWidth="1"/>
    <col min="6411" max="6411" width="26.44140625" style="438" customWidth="1"/>
    <col min="6412" max="6412" width="10.6640625" style="438" customWidth="1"/>
    <col min="6413" max="6413" width="17.88671875" style="438" customWidth="1"/>
    <col min="6414" max="6414" width="14.109375" style="438" bestFit="1" customWidth="1"/>
    <col min="6415" max="6415" width="12.6640625" style="438" customWidth="1"/>
    <col min="6416" max="6416" width="15.6640625" style="438" bestFit="1" customWidth="1"/>
    <col min="6417" max="6417" width="14.109375" style="438" bestFit="1" customWidth="1"/>
    <col min="6418" max="6418" width="8.88671875" style="438"/>
    <col min="6419" max="6419" width="15.88671875" style="438" customWidth="1"/>
    <col min="6420" max="6659" width="8.88671875" style="438"/>
    <col min="6660" max="6660" width="10.109375" style="438" bestFit="1" customWidth="1"/>
    <col min="6661" max="6661" width="11.5546875" style="438" bestFit="1" customWidth="1"/>
    <col min="6662" max="6662" width="26.109375" style="438" bestFit="1" customWidth="1"/>
    <col min="6663" max="6664" width="13.77734375" style="438" customWidth="1"/>
    <col min="6665" max="6665" width="0" style="438" hidden="1" customWidth="1"/>
    <col min="6666" max="6666" width="14" style="438" bestFit="1" customWidth="1"/>
    <col min="6667" max="6667" width="26.44140625" style="438" customWidth="1"/>
    <col min="6668" max="6668" width="10.6640625" style="438" customWidth="1"/>
    <col min="6669" max="6669" width="17.88671875" style="438" customWidth="1"/>
    <col min="6670" max="6670" width="14.109375" style="438" bestFit="1" customWidth="1"/>
    <col min="6671" max="6671" width="12.6640625" style="438" customWidth="1"/>
    <col min="6672" max="6672" width="15.6640625" style="438" bestFit="1" customWidth="1"/>
    <col min="6673" max="6673" width="14.109375" style="438" bestFit="1" customWidth="1"/>
    <col min="6674" max="6674" width="8.88671875" style="438"/>
    <col min="6675" max="6675" width="15.88671875" style="438" customWidth="1"/>
    <col min="6676" max="6915" width="8.88671875" style="438"/>
    <col min="6916" max="6916" width="10.109375" style="438" bestFit="1" customWidth="1"/>
    <col min="6917" max="6917" width="11.5546875" style="438" bestFit="1" customWidth="1"/>
    <col min="6918" max="6918" width="26.109375" style="438" bestFit="1" customWidth="1"/>
    <col min="6919" max="6920" width="13.77734375" style="438" customWidth="1"/>
    <col min="6921" max="6921" width="0" style="438" hidden="1" customWidth="1"/>
    <col min="6922" max="6922" width="14" style="438" bestFit="1" customWidth="1"/>
    <col min="6923" max="6923" width="26.44140625" style="438" customWidth="1"/>
    <col min="6924" max="6924" width="10.6640625" style="438" customWidth="1"/>
    <col min="6925" max="6925" width="17.88671875" style="438" customWidth="1"/>
    <col min="6926" max="6926" width="14.109375" style="438" bestFit="1" customWidth="1"/>
    <col min="6927" max="6927" width="12.6640625" style="438" customWidth="1"/>
    <col min="6928" max="6928" width="15.6640625" style="438" bestFit="1" customWidth="1"/>
    <col min="6929" max="6929" width="14.109375" style="438" bestFit="1" customWidth="1"/>
    <col min="6930" max="6930" width="8.88671875" style="438"/>
    <col min="6931" max="6931" width="15.88671875" style="438" customWidth="1"/>
    <col min="6932" max="7171" width="8.88671875" style="438"/>
    <col min="7172" max="7172" width="10.109375" style="438" bestFit="1" customWidth="1"/>
    <col min="7173" max="7173" width="11.5546875" style="438" bestFit="1" customWidth="1"/>
    <col min="7174" max="7174" width="26.109375" style="438" bestFit="1" customWidth="1"/>
    <col min="7175" max="7176" width="13.77734375" style="438" customWidth="1"/>
    <col min="7177" max="7177" width="0" style="438" hidden="1" customWidth="1"/>
    <col min="7178" max="7178" width="14" style="438" bestFit="1" customWidth="1"/>
    <col min="7179" max="7179" width="26.44140625" style="438" customWidth="1"/>
    <col min="7180" max="7180" width="10.6640625" style="438" customWidth="1"/>
    <col min="7181" max="7181" width="17.88671875" style="438" customWidth="1"/>
    <col min="7182" max="7182" width="14.109375" style="438" bestFit="1" customWidth="1"/>
    <col min="7183" max="7183" width="12.6640625" style="438" customWidth="1"/>
    <col min="7184" max="7184" width="15.6640625" style="438" bestFit="1" customWidth="1"/>
    <col min="7185" max="7185" width="14.109375" style="438" bestFit="1" customWidth="1"/>
    <col min="7186" max="7186" width="8.88671875" style="438"/>
    <col min="7187" max="7187" width="15.88671875" style="438" customWidth="1"/>
    <col min="7188" max="7427" width="8.88671875" style="438"/>
    <col min="7428" max="7428" width="10.109375" style="438" bestFit="1" customWidth="1"/>
    <col min="7429" max="7429" width="11.5546875" style="438" bestFit="1" customWidth="1"/>
    <col min="7430" max="7430" width="26.109375" style="438" bestFit="1" customWidth="1"/>
    <col min="7431" max="7432" width="13.77734375" style="438" customWidth="1"/>
    <col min="7433" max="7433" width="0" style="438" hidden="1" customWidth="1"/>
    <col min="7434" max="7434" width="14" style="438" bestFit="1" customWidth="1"/>
    <col min="7435" max="7435" width="26.44140625" style="438" customWidth="1"/>
    <col min="7436" max="7436" width="10.6640625" style="438" customWidth="1"/>
    <col min="7437" max="7437" width="17.88671875" style="438" customWidth="1"/>
    <col min="7438" max="7438" width="14.109375" style="438" bestFit="1" customWidth="1"/>
    <col min="7439" max="7439" width="12.6640625" style="438" customWidth="1"/>
    <col min="7440" max="7440" width="15.6640625" style="438" bestFit="1" customWidth="1"/>
    <col min="7441" max="7441" width="14.109375" style="438" bestFit="1" customWidth="1"/>
    <col min="7442" max="7442" width="8.88671875" style="438"/>
    <col min="7443" max="7443" width="15.88671875" style="438" customWidth="1"/>
    <col min="7444" max="7683" width="8.88671875" style="438"/>
    <col min="7684" max="7684" width="10.109375" style="438" bestFit="1" customWidth="1"/>
    <col min="7685" max="7685" width="11.5546875" style="438" bestFit="1" customWidth="1"/>
    <col min="7686" max="7686" width="26.109375" style="438" bestFit="1" customWidth="1"/>
    <col min="7687" max="7688" width="13.77734375" style="438" customWidth="1"/>
    <col min="7689" max="7689" width="0" style="438" hidden="1" customWidth="1"/>
    <col min="7690" max="7690" width="14" style="438" bestFit="1" customWidth="1"/>
    <col min="7691" max="7691" width="26.44140625" style="438" customWidth="1"/>
    <col min="7692" max="7692" width="10.6640625" style="438" customWidth="1"/>
    <col min="7693" max="7693" width="17.88671875" style="438" customWidth="1"/>
    <col min="7694" max="7694" width="14.109375" style="438" bestFit="1" customWidth="1"/>
    <col min="7695" max="7695" width="12.6640625" style="438" customWidth="1"/>
    <col min="7696" max="7696" width="15.6640625" style="438" bestFit="1" customWidth="1"/>
    <col min="7697" max="7697" width="14.109375" style="438" bestFit="1" customWidth="1"/>
    <col min="7698" max="7698" width="8.88671875" style="438"/>
    <col min="7699" max="7699" width="15.88671875" style="438" customWidth="1"/>
    <col min="7700" max="7939" width="8.88671875" style="438"/>
    <col min="7940" max="7940" width="10.109375" style="438" bestFit="1" customWidth="1"/>
    <col min="7941" max="7941" width="11.5546875" style="438" bestFit="1" customWidth="1"/>
    <col min="7942" max="7942" width="26.109375" style="438" bestFit="1" customWidth="1"/>
    <col min="7943" max="7944" width="13.77734375" style="438" customWidth="1"/>
    <col min="7945" max="7945" width="0" style="438" hidden="1" customWidth="1"/>
    <col min="7946" max="7946" width="14" style="438" bestFit="1" customWidth="1"/>
    <col min="7947" max="7947" width="26.44140625" style="438" customWidth="1"/>
    <col min="7948" max="7948" width="10.6640625" style="438" customWidth="1"/>
    <col min="7949" max="7949" width="17.88671875" style="438" customWidth="1"/>
    <col min="7950" max="7950" width="14.109375" style="438" bestFit="1" customWidth="1"/>
    <col min="7951" max="7951" width="12.6640625" style="438" customWidth="1"/>
    <col min="7952" max="7952" width="15.6640625" style="438" bestFit="1" customWidth="1"/>
    <col min="7953" max="7953" width="14.109375" style="438" bestFit="1" customWidth="1"/>
    <col min="7954" max="7954" width="8.88671875" style="438"/>
    <col min="7955" max="7955" width="15.88671875" style="438" customWidth="1"/>
    <col min="7956" max="8195" width="8.88671875" style="438"/>
    <col min="8196" max="8196" width="10.109375" style="438" bestFit="1" customWidth="1"/>
    <col min="8197" max="8197" width="11.5546875" style="438" bestFit="1" customWidth="1"/>
    <col min="8198" max="8198" width="26.109375" style="438" bestFit="1" customWidth="1"/>
    <col min="8199" max="8200" width="13.77734375" style="438" customWidth="1"/>
    <col min="8201" max="8201" width="0" style="438" hidden="1" customWidth="1"/>
    <col min="8202" max="8202" width="14" style="438" bestFit="1" customWidth="1"/>
    <col min="8203" max="8203" width="26.44140625" style="438" customWidth="1"/>
    <col min="8204" max="8204" width="10.6640625" style="438" customWidth="1"/>
    <col min="8205" max="8205" width="17.88671875" style="438" customWidth="1"/>
    <col min="8206" max="8206" width="14.109375" style="438" bestFit="1" customWidth="1"/>
    <col min="8207" max="8207" width="12.6640625" style="438" customWidth="1"/>
    <col min="8208" max="8208" width="15.6640625" style="438" bestFit="1" customWidth="1"/>
    <col min="8209" max="8209" width="14.109375" style="438" bestFit="1" customWidth="1"/>
    <col min="8210" max="8210" width="8.88671875" style="438"/>
    <col min="8211" max="8211" width="15.88671875" style="438" customWidth="1"/>
    <col min="8212" max="8451" width="8.88671875" style="438"/>
    <col min="8452" max="8452" width="10.109375" style="438" bestFit="1" customWidth="1"/>
    <col min="8453" max="8453" width="11.5546875" style="438" bestFit="1" customWidth="1"/>
    <col min="8454" max="8454" width="26.109375" style="438" bestFit="1" customWidth="1"/>
    <col min="8455" max="8456" width="13.77734375" style="438" customWidth="1"/>
    <col min="8457" max="8457" width="0" style="438" hidden="1" customWidth="1"/>
    <col min="8458" max="8458" width="14" style="438" bestFit="1" customWidth="1"/>
    <col min="8459" max="8459" width="26.44140625" style="438" customWidth="1"/>
    <col min="8460" max="8460" width="10.6640625" style="438" customWidth="1"/>
    <col min="8461" max="8461" width="17.88671875" style="438" customWidth="1"/>
    <col min="8462" max="8462" width="14.109375" style="438" bestFit="1" customWidth="1"/>
    <col min="8463" max="8463" width="12.6640625" style="438" customWidth="1"/>
    <col min="8464" max="8464" width="15.6640625" style="438" bestFit="1" customWidth="1"/>
    <col min="8465" max="8465" width="14.109375" style="438" bestFit="1" customWidth="1"/>
    <col min="8466" max="8466" width="8.88671875" style="438"/>
    <col min="8467" max="8467" width="15.88671875" style="438" customWidth="1"/>
    <col min="8468" max="8707" width="8.88671875" style="438"/>
    <col min="8708" max="8708" width="10.109375" style="438" bestFit="1" customWidth="1"/>
    <col min="8709" max="8709" width="11.5546875" style="438" bestFit="1" customWidth="1"/>
    <col min="8710" max="8710" width="26.109375" style="438" bestFit="1" customWidth="1"/>
    <col min="8711" max="8712" width="13.77734375" style="438" customWidth="1"/>
    <col min="8713" max="8713" width="0" style="438" hidden="1" customWidth="1"/>
    <col min="8714" max="8714" width="14" style="438" bestFit="1" customWidth="1"/>
    <col min="8715" max="8715" width="26.44140625" style="438" customWidth="1"/>
    <col min="8716" max="8716" width="10.6640625" style="438" customWidth="1"/>
    <col min="8717" max="8717" width="17.88671875" style="438" customWidth="1"/>
    <col min="8718" max="8718" width="14.109375" style="438" bestFit="1" customWidth="1"/>
    <col min="8719" max="8719" width="12.6640625" style="438" customWidth="1"/>
    <col min="8720" max="8720" width="15.6640625" style="438" bestFit="1" customWidth="1"/>
    <col min="8721" max="8721" width="14.109375" style="438" bestFit="1" customWidth="1"/>
    <col min="8722" max="8722" width="8.88671875" style="438"/>
    <col min="8723" max="8723" width="15.88671875" style="438" customWidth="1"/>
    <col min="8724" max="8963" width="8.88671875" style="438"/>
    <col min="8964" max="8964" width="10.109375" style="438" bestFit="1" customWidth="1"/>
    <col min="8965" max="8965" width="11.5546875" style="438" bestFit="1" customWidth="1"/>
    <col min="8966" max="8966" width="26.109375" style="438" bestFit="1" customWidth="1"/>
    <col min="8967" max="8968" width="13.77734375" style="438" customWidth="1"/>
    <col min="8969" max="8969" width="0" style="438" hidden="1" customWidth="1"/>
    <col min="8970" max="8970" width="14" style="438" bestFit="1" customWidth="1"/>
    <col min="8971" max="8971" width="26.44140625" style="438" customWidth="1"/>
    <col min="8972" max="8972" width="10.6640625" style="438" customWidth="1"/>
    <col min="8973" max="8973" width="17.88671875" style="438" customWidth="1"/>
    <col min="8974" max="8974" width="14.109375" style="438" bestFit="1" customWidth="1"/>
    <col min="8975" max="8975" width="12.6640625" style="438" customWidth="1"/>
    <col min="8976" max="8976" width="15.6640625" style="438" bestFit="1" customWidth="1"/>
    <col min="8977" max="8977" width="14.109375" style="438" bestFit="1" customWidth="1"/>
    <col min="8978" max="8978" width="8.88671875" style="438"/>
    <col min="8979" max="8979" width="15.88671875" style="438" customWidth="1"/>
    <col min="8980" max="9219" width="8.88671875" style="438"/>
    <col min="9220" max="9220" width="10.109375" style="438" bestFit="1" customWidth="1"/>
    <col min="9221" max="9221" width="11.5546875" style="438" bestFit="1" customWidth="1"/>
    <col min="9222" max="9222" width="26.109375" style="438" bestFit="1" customWidth="1"/>
    <col min="9223" max="9224" width="13.77734375" style="438" customWidth="1"/>
    <col min="9225" max="9225" width="0" style="438" hidden="1" customWidth="1"/>
    <col min="9226" max="9226" width="14" style="438" bestFit="1" customWidth="1"/>
    <col min="9227" max="9227" width="26.44140625" style="438" customWidth="1"/>
    <col min="9228" max="9228" width="10.6640625" style="438" customWidth="1"/>
    <col min="9229" max="9229" width="17.88671875" style="438" customWidth="1"/>
    <col min="9230" max="9230" width="14.109375" style="438" bestFit="1" customWidth="1"/>
    <col min="9231" max="9231" width="12.6640625" style="438" customWidth="1"/>
    <col min="9232" max="9232" width="15.6640625" style="438" bestFit="1" customWidth="1"/>
    <col min="9233" max="9233" width="14.109375" style="438" bestFit="1" customWidth="1"/>
    <col min="9234" max="9234" width="8.88671875" style="438"/>
    <col min="9235" max="9235" width="15.88671875" style="438" customWidth="1"/>
    <col min="9236" max="9475" width="8.88671875" style="438"/>
    <col min="9476" max="9476" width="10.109375" style="438" bestFit="1" customWidth="1"/>
    <col min="9477" max="9477" width="11.5546875" style="438" bestFit="1" customWidth="1"/>
    <col min="9478" max="9478" width="26.109375" style="438" bestFit="1" customWidth="1"/>
    <col min="9479" max="9480" width="13.77734375" style="438" customWidth="1"/>
    <col min="9481" max="9481" width="0" style="438" hidden="1" customWidth="1"/>
    <col min="9482" max="9482" width="14" style="438" bestFit="1" customWidth="1"/>
    <col min="9483" max="9483" width="26.44140625" style="438" customWidth="1"/>
    <col min="9484" max="9484" width="10.6640625" style="438" customWidth="1"/>
    <col min="9485" max="9485" width="17.88671875" style="438" customWidth="1"/>
    <col min="9486" max="9486" width="14.109375" style="438" bestFit="1" customWidth="1"/>
    <col min="9487" max="9487" width="12.6640625" style="438" customWidth="1"/>
    <col min="9488" max="9488" width="15.6640625" style="438" bestFit="1" customWidth="1"/>
    <col min="9489" max="9489" width="14.109375" style="438" bestFit="1" customWidth="1"/>
    <col min="9490" max="9490" width="8.88671875" style="438"/>
    <col min="9491" max="9491" width="15.88671875" style="438" customWidth="1"/>
    <col min="9492" max="9731" width="8.88671875" style="438"/>
    <col min="9732" max="9732" width="10.109375" style="438" bestFit="1" customWidth="1"/>
    <col min="9733" max="9733" width="11.5546875" style="438" bestFit="1" customWidth="1"/>
    <col min="9734" max="9734" width="26.109375" style="438" bestFit="1" customWidth="1"/>
    <col min="9735" max="9736" width="13.77734375" style="438" customWidth="1"/>
    <col min="9737" max="9737" width="0" style="438" hidden="1" customWidth="1"/>
    <col min="9738" max="9738" width="14" style="438" bestFit="1" customWidth="1"/>
    <col min="9739" max="9739" width="26.44140625" style="438" customWidth="1"/>
    <col min="9740" max="9740" width="10.6640625" style="438" customWidth="1"/>
    <col min="9741" max="9741" width="17.88671875" style="438" customWidth="1"/>
    <col min="9742" max="9742" width="14.109375" style="438" bestFit="1" customWidth="1"/>
    <col min="9743" max="9743" width="12.6640625" style="438" customWidth="1"/>
    <col min="9744" max="9744" width="15.6640625" style="438" bestFit="1" customWidth="1"/>
    <col min="9745" max="9745" width="14.109375" style="438" bestFit="1" customWidth="1"/>
    <col min="9746" max="9746" width="8.88671875" style="438"/>
    <col min="9747" max="9747" width="15.88671875" style="438" customWidth="1"/>
    <col min="9748" max="9987" width="8.88671875" style="438"/>
    <col min="9988" max="9988" width="10.109375" style="438" bestFit="1" customWidth="1"/>
    <col min="9989" max="9989" width="11.5546875" style="438" bestFit="1" customWidth="1"/>
    <col min="9990" max="9990" width="26.109375" style="438" bestFit="1" customWidth="1"/>
    <col min="9991" max="9992" width="13.77734375" style="438" customWidth="1"/>
    <col min="9993" max="9993" width="0" style="438" hidden="1" customWidth="1"/>
    <col min="9994" max="9994" width="14" style="438" bestFit="1" customWidth="1"/>
    <col min="9995" max="9995" width="26.44140625" style="438" customWidth="1"/>
    <col min="9996" max="9996" width="10.6640625" style="438" customWidth="1"/>
    <col min="9997" max="9997" width="17.88671875" style="438" customWidth="1"/>
    <col min="9998" max="9998" width="14.109375" style="438" bestFit="1" customWidth="1"/>
    <col min="9999" max="9999" width="12.6640625" style="438" customWidth="1"/>
    <col min="10000" max="10000" width="15.6640625" style="438" bestFit="1" customWidth="1"/>
    <col min="10001" max="10001" width="14.109375" style="438" bestFit="1" customWidth="1"/>
    <col min="10002" max="10002" width="8.88671875" style="438"/>
    <col min="10003" max="10003" width="15.88671875" style="438" customWidth="1"/>
    <col min="10004" max="10243" width="8.88671875" style="438"/>
    <col min="10244" max="10244" width="10.109375" style="438" bestFit="1" customWidth="1"/>
    <col min="10245" max="10245" width="11.5546875" style="438" bestFit="1" customWidth="1"/>
    <col min="10246" max="10246" width="26.109375" style="438" bestFit="1" customWidth="1"/>
    <col min="10247" max="10248" width="13.77734375" style="438" customWidth="1"/>
    <col min="10249" max="10249" width="0" style="438" hidden="1" customWidth="1"/>
    <col min="10250" max="10250" width="14" style="438" bestFit="1" customWidth="1"/>
    <col min="10251" max="10251" width="26.44140625" style="438" customWidth="1"/>
    <col min="10252" max="10252" width="10.6640625" style="438" customWidth="1"/>
    <col min="10253" max="10253" width="17.88671875" style="438" customWidth="1"/>
    <col min="10254" max="10254" width="14.109375" style="438" bestFit="1" customWidth="1"/>
    <col min="10255" max="10255" width="12.6640625" style="438" customWidth="1"/>
    <col min="10256" max="10256" width="15.6640625" style="438" bestFit="1" customWidth="1"/>
    <col min="10257" max="10257" width="14.109375" style="438" bestFit="1" customWidth="1"/>
    <col min="10258" max="10258" width="8.88671875" style="438"/>
    <col min="10259" max="10259" width="15.88671875" style="438" customWidth="1"/>
    <col min="10260" max="10499" width="8.88671875" style="438"/>
    <col min="10500" max="10500" width="10.109375" style="438" bestFit="1" customWidth="1"/>
    <col min="10501" max="10501" width="11.5546875" style="438" bestFit="1" customWidth="1"/>
    <col min="10502" max="10502" width="26.109375" style="438" bestFit="1" customWidth="1"/>
    <col min="10503" max="10504" width="13.77734375" style="438" customWidth="1"/>
    <col min="10505" max="10505" width="0" style="438" hidden="1" customWidth="1"/>
    <col min="10506" max="10506" width="14" style="438" bestFit="1" customWidth="1"/>
    <col min="10507" max="10507" width="26.44140625" style="438" customWidth="1"/>
    <col min="10508" max="10508" width="10.6640625" style="438" customWidth="1"/>
    <col min="10509" max="10509" width="17.88671875" style="438" customWidth="1"/>
    <col min="10510" max="10510" width="14.109375" style="438" bestFit="1" customWidth="1"/>
    <col min="10511" max="10511" width="12.6640625" style="438" customWidth="1"/>
    <col min="10512" max="10512" width="15.6640625" style="438" bestFit="1" customWidth="1"/>
    <col min="10513" max="10513" width="14.109375" style="438" bestFit="1" customWidth="1"/>
    <col min="10514" max="10514" width="8.88671875" style="438"/>
    <col min="10515" max="10515" width="15.88671875" style="438" customWidth="1"/>
    <col min="10516" max="10755" width="8.88671875" style="438"/>
    <col min="10756" max="10756" width="10.109375" style="438" bestFit="1" customWidth="1"/>
    <col min="10757" max="10757" width="11.5546875" style="438" bestFit="1" customWidth="1"/>
    <col min="10758" max="10758" width="26.109375" style="438" bestFit="1" customWidth="1"/>
    <col min="10759" max="10760" width="13.77734375" style="438" customWidth="1"/>
    <col min="10761" max="10761" width="0" style="438" hidden="1" customWidth="1"/>
    <col min="10762" max="10762" width="14" style="438" bestFit="1" customWidth="1"/>
    <col min="10763" max="10763" width="26.44140625" style="438" customWidth="1"/>
    <col min="10764" max="10764" width="10.6640625" style="438" customWidth="1"/>
    <col min="10765" max="10765" width="17.88671875" style="438" customWidth="1"/>
    <col min="10766" max="10766" width="14.109375" style="438" bestFit="1" customWidth="1"/>
    <col min="10767" max="10767" width="12.6640625" style="438" customWidth="1"/>
    <col min="10768" max="10768" width="15.6640625" style="438" bestFit="1" customWidth="1"/>
    <col min="10769" max="10769" width="14.109375" style="438" bestFit="1" customWidth="1"/>
    <col min="10770" max="10770" width="8.88671875" style="438"/>
    <col min="10771" max="10771" width="15.88671875" style="438" customWidth="1"/>
    <col min="10772" max="11011" width="8.88671875" style="438"/>
    <col min="11012" max="11012" width="10.109375" style="438" bestFit="1" customWidth="1"/>
    <col min="11013" max="11013" width="11.5546875" style="438" bestFit="1" customWidth="1"/>
    <col min="11014" max="11014" width="26.109375" style="438" bestFit="1" customWidth="1"/>
    <col min="11015" max="11016" width="13.77734375" style="438" customWidth="1"/>
    <col min="11017" max="11017" width="0" style="438" hidden="1" customWidth="1"/>
    <col min="11018" max="11018" width="14" style="438" bestFit="1" customWidth="1"/>
    <col min="11019" max="11019" width="26.44140625" style="438" customWidth="1"/>
    <col min="11020" max="11020" width="10.6640625" style="438" customWidth="1"/>
    <col min="11021" max="11021" width="17.88671875" style="438" customWidth="1"/>
    <col min="11022" max="11022" width="14.109375" style="438" bestFit="1" customWidth="1"/>
    <col min="11023" max="11023" width="12.6640625" style="438" customWidth="1"/>
    <col min="11024" max="11024" width="15.6640625" style="438" bestFit="1" customWidth="1"/>
    <col min="11025" max="11025" width="14.109375" style="438" bestFit="1" customWidth="1"/>
    <col min="11026" max="11026" width="8.88671875" style="438"/>
    <col min="11027" max="11027" width="15.88671875" style="438" customWidth="1"/>
    <col min="11028" max="11267" width="8.88671875" style="438"/>
    <col min="11268" max="11268" width="10.109375" style="438" bestFit="1" customWidth="1"/>
    <col min="11269" max="11269" width="11.5546875" style="438" bestFit="1" customWidth="1"/>
    <col min="11270" max="11270" width="26.109375" style="438" bestFit="1" customWidth="1"/>
    <col min="11271" max="11272" width="13.77734375" style="438" customWidth="1"/>
    <col min="11273" max="11273" width="0" style="438" hidden="1" customWidth="1"/>
    <col min="11274" max="11274" width="14" style="438" bestFit="1" customWidth="1"/>
    <col min="11275" max="11275" width="26.44140625" style="438" customWidth="1"/>
    <col min="11276" max="11276" width="10.6640625" style="438" customWidth="1"/>
    <col min="11277" max="11277" width="17.88671875" style="438" customWidth="1"/>
    <col min="11278" max="11278" width="14.109375" style="438" bestFit="1" customWidth="1"/>
    <col min="11279" max="11279" width="12.6640625" style="438" customWidth="1"/>
    <col min="11280" max="11280" width="15.6640625" style="438" bestFit="1" customWidth="1"/>
    <col min="11281" max="11281" width="14.109375" style="438" bestFit="1" customWidth="1"/>
    <col min="11282" max="11282" width="8.88671875" style="438"/>
    <col min="11283" max="11283" width="15.88671875" style="438" customWidth="1"/>
    <col min="11284" max="11523" width="8.88671875" style="438"/>
    <col min="11524" max="11524" width="10.109375" style="438" bestFit="1" customWidth="1"/>
    <col min="11525" max="11525" width="11.5546875" style="438" bestFit="1" customWidth="1"/>
    <col min="11526" max="11526" width="26.109375" style="438" bestFit="1" customWidth="1"/>
    <col min="11527" max="11528" width="13.77734375" style="438" customWidth="1"/>
    <col min="11529" max="11529" width="0" style="438" hidden="1" customWidth="1"/>
    <col min="11530" max="11530" width="14" style="438" bestFit="1" customWidth="1"/>
    <col min="11531" max="11531" width="26.44140625" style="438" customWidth="1"/>
    <col min="11532" max="11532" width="10.6640625" style="438" customWidth="1"/>
    <col min="11533" max="11533" width="17.88671875" style="438" customWidth="1"/>
    <col min="11534" max="11534" width="14.109375" style="438" bestFit="1" customWidth="1"/>
    <col min="11535" max="11535" width="12.6640625" style="438" customWidth="1"/>
    <col min="11536" max="11536" width="15.6640625" style="438" bestFit="1" customWidth="1"/>
    <col min="11537" max="11537" width="14.109375" style="438" bestFit="1" customWidth="1"/>
    <col min="11538" max="11538" width="8.88671875" style="438"/>
    <col min="11539" max="11539" width="15.88671875" style="438" customWidth="1"/>
    <col min="11540" max="11779" width="8.88671875" style="438"/>
    <col min="11780" max="11780" width="10.109375" style="438" bestFit="1" customWidth="1"/>
    <col min="11781" max="11781" width="11.5546875" style="438" bestFit="1" customWidth="1"/>
    <col min="11782" max="11782" width="26.109375" style="438" bestFit="1" customWidth="1"/>
    <col min="11783" max="11784" width="13.77734375" style="438" customWidth="1"/>
    <col min="11785" max="11785" width="0" style="438" hidden="1" customWidth="1"/>
    <col min="11786" max="11786" width="14" style="438" bestFit="1" customWidth="1"/>
    <col min="11787" max="11787" width="26.44140625" style="438" customWidth="1"/>
    <col min="11788" max="11788" width="10.6640625" style="438" customWidth="1"/>
    <col min="11789" max="11789" width="17.88671875" style="438" customWidth="1"/>
    <col min="11790" max="11790" width="14.109375" style="438" bestFit="1" customWidth="1"/>
    <col min="11791" max="11791" width="12.6640625" style="438" customWidth="1"/>
    <col min="11792" max="11792" width="15.6640625" style="438" bestFit="1" customWidth="1"/>
    <col min="11793" max="11793" width="14.109375" style="438" bestFit="1" customWidth="1"/>
    <col min="11794" max="11794" width="8.88671875" style="438"/>
    <col min="11795" max="11795" width="15.88671875" style="438" customWidth="1"/>
    <col min="11796" max="12035" width="8.88671875" style="438"/>
    <col min="12036" max="12036" width="10.109375" style="438" bestFit="1" customWidth="1"/>
    <col min="12037" max="12037" width="11.5546875" style="438" bestFit="1" customWidth="1"/>
    <col min="12038" max="12038" width="26.109375" style="438" bestFit="1" customWidth="1"/>
    <col min="12039" max="12040" width="13.77734375" style="438" customWidth="1"/>
    <col min="12041" max="12041" width="0" style="438" hidden="1" customWidth="1"/>
    <col min="12042" max="12042" width="14" style="438" bestFit="1" customWidth="1"/>
    <col min="12043" max="12043" width="26.44140625" style="438" customWidth="1"/>
    <col min="12044" max="12044" width="10.6640625" style="438" customWidth="1"/>
    <col min="12045" max="12045" width="17.88671875" style="438" customWidth="1"/>
    <col min="12046" max="12046" width="14.109375" style="438" bestFit="1" customWidth="1"/>
    <col min="12047" max="12047" width="12.6640625" style="438" customWidth="1"/>
    <col min="12048" max="12048" width="15.6640625" style="438" bestFit="1" customWidth="1"/>
    <col min="12049" max="12049" width="14.109375" style="438" bestFit="1" customWidth="1"/>
    <col min="12050" max="12050" width="8.88671875" style="438"/>
    <col min="12051" max="12051" width="15.88671875" style="438" customWidth="1"/>
    <col min="12052" max="12291" width="8.88671875" style="438"/>
    <col min="12292" max="12292" width="10.109375" style="438" bestFit="1" customWidth="1"/>
    <col min="12293" max="12293" width="11.5546875" style="438" bestFit="1" customWidth="1"/>
    <col min="12294" max="12294" width="26.109375" style="438" bestFit="1" customWidth="1"/>
    <col min="12295" max="12296" width="13.77734375" style="438" customWidth="1"/>
    <col min="12297" max="12297" width="0" style="438" hidden="1" customWidth="1"/>
    <col min="12298" max="12298" width="14" style="438" bestFit="1" customWidth="1"/>
    <col min="12299" max="12299" width="26.44140625" style="438" customWidth="1"/>
    <col min="12300" max="12300" width="10.6640625" style="438" customWidth="1"/>
    <col min="12301" max="12301" width="17.88671875" style="438" customWidth="1"/>
    <col min="12302" max="12302" width="14.109375" style="438" bestFit="1" customWidth="1"/>
    <col min="12303" max="12303" width="12.6640625" style="438" customWidth="1"/>
    <col min="12304" max="12304" width="15.6640625" style="438" bestFit="1" customWidth="1"/>
    <col min="12305" max="12305" width="14.109375" style="438" bestFit="1" customWidth="1"/>
    <col min="12306" max="12306" width="8.88671875" style="438"/>
    <col min="12307" max="12307" width="15.88671875" style="438" customWidth="1"/>
    <col min="12308" max="12547" width="8.88671875" style="438"/>
    <col min="12548" max="12548" width="10.109375" style="438" bestFit="1" customWidth="1"/>
    <col min="12549" max="12549" width="11.5546875" style="438" bestFit="1" customWidth="1"/>
    <col min="12550" max="12550" width="26.109375" style="438" bestFit="1" customWidth="1"/>
    <col min="12551" max="12552" width="13.77734375" style="438" customWidth="1"/>
    <col min="12553" max="12553" width="0" style="438" hidden="1" customWidth="1"/>
    <col min="12554" max="12554" width="14" style="438" bestFit="1" customWidth="1"/>
    <col min="12555" max="12555" width="26.44140625" style="438" customWidth="1"/>
    <col min="12556" max="12556" width="10.6640625" style="438" customWidth="1"/>
    <col min="12557" max="12557" width="17.88671875" style="438" customWidth="1"/>
    <col min="12558" max="12558" width="14.109375" style="438" bestFit="1" customWidth="1"/>
    <col min="12559" max="12559" width="12.6640625" style="438" customWidth="1"/>
    <col min="12560" max="12560" width="15.6640625" style="438" bestFit="1" customWidth="1"/>
    <col min="12561" max="12561" width="14.109375" style="438" bestFit="1" customWidth="1"/>
    <col min="12562" max="12562" width="8.88671875" style="438"/>
    <col min="12563" max="12563" width="15.88671875" style="438" customWidth="1"/>
    <col min="12564" max="12803" width="8.88671875" style="438"/>
    <col min="12804" max="12804" width="10.109375" style="438" bestFit="1" customWidth="1"/>
    <col min="12805" max="12805" width="11.5546875" style="438" bestFit="1" customWidth="1"/>
    <col min="12806" max="12806" width="26.109375" style="438" bestFit="1" customWidth="1"/>
    <col min="12807" max="12808" width="13.77734375" style="438" customWidth="1"/>
    <col min="12809" max="12809" width="0" style="438" hidden="1" customWidth="1"/>
    <col min="12810" max="12810" width="14" style="438" bestFit="1" customWidth="1"/>
    <col min="12811" max="12811" width="26.44140625" style="438" customWidth="1"/>
    <col min="12812" max="12812" width="10.6640625" style="438" customWidth="1"/>
    <col min="12813" max="12813" width="17.88671875" style="438" customWidth="1"/>
    <col min="12814" max="12814" width="14.109375" style="438" bestFit="1" customWidth="1"/>
    <col min="12815" max="12815" width="12.6640625" style="438" customWidth="1"/>
    <col min="12816" max="12816" width="15.6640625" style="438" bestFit="1" customWidth="1"/>
    <col min="12817" max="12817" width="14.109375" style="438" bestFit="1" customWidth="1"/>
    <col min="12818" max="12818" width="8.88671875" style="438"/>
    <col min="12819" max="12819" width="15.88671875" style="438" customWidth="1"/>
    <col min="12820" max="13059" width="8.88671875" style="438"/>
    <col min="13060" max="13060" width="10.109375" style="438" bestFit="1" customWidth="1"/>
    <col min="13061" max="13061" width="11.5546875" style="438" bestFit="1" customWidth="1"/>
    <col min="13062" max="13062" width="26.109375" style="438" bestFit="1" customWidth="1"/>
    <col min="13063" max="13064" width="13.77734375" style="438" customWidth="1"/>
    <col min="13065" max="13065" width="0" style="438" hidden="1" customWidth="1"/>
    <col min="13066" max="13066" width="14" style="438" bestFit="1" customWidth="1"/>
    <col min="13067" max="13067" width="26.44140625" style="438" customWidth="1"/>
    <col min="13068" max="13068" width="10.6640625" style="438" customWidth="1"/>
    <col min="13069" max="13069" width="17.88671875" style="438" customWidth="1"/>
    <col min="13070" max="13070" width="14.109375" style="438" bestFit="1" customWidth="1"/>
    <col min="13071" max="13071" width="12.6640625" style="438" customWidth="1"/>
    <col min="13072" max="13072" width="15.6640625" style="438" bestFit="1" customWidth="1"/>
    <col min="13073" max="13073" width="14.109375" style="438" bestFit="1" customWidth="1"/>
    <col min="13074" max="13074" width="8.88671875" style="438"/>
    <col min="13075" max="13075" width="15.88671875" style="438" customWidth="1"/>
    <col min="13076" max="13315" width="8.88671875" style="438"/>
    <col min="13316" max="13316" width="10.109375" style="438" bestFit="1" customWidth="1"/>
    <col min="13317" max="13317" width="11.5546875" style="438" bestFit="1" customWidth="1"/>
    <col min="13318" max="13318" width="26.109375" style="438" bestFit="1" customWidth="1"/>
    <col min="13319" max="13320" width="13.77734375" style="438" customWidth="1"/>
    <col min="13321" max="13321" width="0" style="438" hidden="1" customWidth="1"/>
    <col min="13322" max="13322" width="14" style="438" bestFit="1" customWidth="1"/>
    <col min="13323" max="13323" width="26.44140625" style="438" customWidth="1"/>
    <col min="13324" max="13324" width="10.6640625" style="438" customWidth="1"/>
    <col min="13325" max="13325" width="17.88671875" style="438" customWidth="1"/>
    <col min="13326" max="13326" width="14.109375" style="438" bestFit="1" customWidth="1"/>
    <col min="13327" max="13327" width="12.6640625" style="438" customWidth="1"/>
    <col min="13328" max="13328" width="15.6640625" style="438" bestFit="1" customWidth="1"/>
    <col min="13329" max="13329" width="14.109375" style="438" bestFit="1" customWidth="1"/>
    <col min="13330" max="13330" width="8.88671875" style="438"/>
    <col min="13331" max="13331" width="15.88671875" style="438" customWidth="1"/>
    <col min="13332" max="13571" width="8.88671875" style="438"/>
    <col min="13572" max="13572" width="10.109375" style="438" bestFit="1" customWidth="1"/>
    <col min="13573" max="13573" width="11.5546875" style="438" bestFit="1" customWidth="1"/>
    <col min="13574" max="13574" width="26.109375" style="438" bestFit="1" customWidth="1"/>
    <col min="13575" max="13576" width="13.77734375" style="438" customWidth="1"/>
    <col min="13577" max="13577" width="0" style="438" hidden="1" customWidth="1"/>
    <col min="13578" max="13578" width="14" style="438" bestFit="1" customWidth="1"/>
    <col min="13579" max="13579" width="26.44140625" style="438" customWidth="1"/>
    <col min="13580" max="13580" width="10.6640625" style="438" customWidth="1"/>
    <col min="13581" max="13581" width="17.88671875" style="438" customWidth="1"/>
    <col min="13582" max="13582" width="14.109375" style="438" bestFit="1" customWidth="1"/>
    <col min="13583" max="13583" width="12.6640625" style="438" customWidth="1"/>
    <col min="13584" max="13584" width="15.6640625" style="438" bestFit="1" customWidth="1"/>
    <col min="13585" max="13585" width="14.109375" style="438" bestFit="1" customWidth="1"/>
    <col min="13586" max="13586" width="8.88671875" style="438"/>
    <col min="13587" max="13587" width="15.88671875" style="438" customWidth="1"/>
    <col min="13588" max="13827" width="8.88671875" style="438"/>
    <col min="13828" max="13828" width="10.109375" style="438" bestFit="1" customWidth="1"/>
    <col min="13829" max="13829" width="11.5546875" style="438" bestFit="1" customWidth="1"/>
    <col min="13830" max="13830" width="26.109375" style="438" bestFit="1" customWidth="1"/>
    <col min="13831" max="13832" width="13.77734375" style="438" customWidth="1"/>
    <col min="13833" max="13833" width="0" style="438" hidden="1" customWidth="1"/>
    <col min="13834" max="13834" width="14" style="438" bestFit="1" customWidth="1"/>
    <col min="13835" max="13835" width="26.44140625" style="438" customWidth="1"/>
    <col min="13836" max="13836" width="10.6640625" style="438" customWidth="1"/>
    <col min="13837" max="13837" width="17.88671875" style="438" customWidth="1"/>
    <col min="13838" max="13838" width="14.109375" style="438" bestFit="1" customWidth="1"/>
    <col min="13839" max="13839" width="12.6640625" style="438" customWidth="1"/>
    <col min="13840" max="13840" width="15.6640625" style="438" bestFit="1" customWidth="1"/>
    <col min="13841" max="13841" width="14.109375" style="438" bestFit="1" customWidth="1"/>
    <col min="13842" max="13842" width="8.88671875" style="438"/>
    <col min="13843" max="13843" width="15.88671875" style="438" customWidth="1"/>
    <col min="13844" max="14083" width="8.88671875" style="438"/>
    <col min="14084" max="14084" width="10.109375" style="438" bestFit="1" customWidth="1"/>
    <col min="14085" max="14085" width="11.5546875" style="438" bestFit="1" customWidth="1"/>
    <col min="14086" max="14086" width="26.109375" style="438" bestFit="1" customWidth="1"/>
    <col min="14087" max="14088" width="13.77734375" style="438" customWidth="1"/>
    <col min="14089" max="14089" width="0" style="438" hidden="1" customWidth="1"/>
    <col min="14090" max="14090" width="14" style="438" bestFit="1" customWidth="1"/>
    <col min="14091" max="14091" width="26.44140625" style="438" customWidth="1"/>
    <col min="14092" max="14092" width="10.6640625" style="438" customWidth="1"/>
    <col min="14093" max="14093" width="17.88671875" style="438" customWidth="1"/>
    <col min="14094" max="14094" width="14.109375" style="438" bestFit="1" customWidth="1"/>
    <col min="14095" max="14095" width="12.6640625" style="438" customWidth="1"/>
    <col min="14096" max="14096" width="15.6640625" style="438" bestFit="1" customWidth="1"/>
    <col min="14097" max="14097" width="14.109375" style="438" bestFit="1" customWidth="1"/>
    <col min="14098" max="14098" width="8.88671875" style="438"/>
    <col min="14099" max="14099" width="15.88671875" style="438" customWidth="1"/>
    <col min="14100" max="14339" width="8.88671875" style="438"/>
    <col min="14340" max="14340" width="10.109375" style="438" bestFit="1" customWidth="1"/>
    <col min="14341" max="14341" width="11.5546875" style="438" bestFit="1" customWidth="1"/>
    <col min="14342" max="14342" width="26.109375" style="438" bestFit="1" customWidth="1"/>
    <col min="14343" max="14344" width="13.77734375" style="438" customWidth="1"/>
    <col min="14345" max="14345" width="0" style="438" hidden="1" customWidth="1"/>
    <col min="14346" max="14346" width="14" style="438" bestFit="1" customWidth="1"/>
    <col min="14347" max="14347" width="26.44140625" style="438" customWidth="1"/>
    <col min="14348" max="14348" width="10.6640625" style="438" customWidth="1"/>
    <col min="14349" max="14349" width="17.88671875" style="438" customWidth="1"/>
    <col min="14350" max="14350" width="14.109375" style="438" bestFit="1" customWidth="1"/>
    <col min="14351" max="14351" width="12.6640625" style="438" customWidth="1"/>
    <col min="14352" max="14352" width="15.6640625" style="438" bestFit="1" customWidth="1"/>
    <col min="14353" max="14353" width="14.109375" style="438" bestFit="1" customWidth="1"/>
    <col min="14354" max="14354" width="8.88671875" style="438"/>
    <col min="14355" max="14355" width="15.88671875" style="438" customWidth="1"/>
    <col min="14356" max="14595" width="8.88671875" style="438"/>
    <col min="14596" max="14596" width="10.109375" style="438" bestFit="1" customWidth="1"/>
    <col min="14597" max="14597" width="11.5546875" style="438" bestFit="1" customWidth="1"/>
    <col min="14598" max="14598" width="26.109375" style="438" bestFit="1" customWidth="1"/>
    <col min="14599" max="14600" width="13.77734375" style="438" customWidth="1"/>
    <col min="14601" max="14601" width="0" style="438" hidden="1" customWidth="1"/>
    <col min="14602" max="14602" width="14" style="438" bestFit="1" customWidth="1"/>
    <col min="14603" max="14603" width="26.44140625" style="438" customWidth="1"/>
    <col min="14604" max="14604" width="10.6640625" style="438" customWidth="1"/>
    <col min="14605" max="14605" width="17.88671875" style="438" customWidth="1"/>
    <col min="14606" max="14606" width="14.109375" style="438" bestFit="1" customWidth="1"/>
    <col min="14607" max="14607" width="12.6640625" style="438" customWidth="1"/>
    <col min="14608" max="14608" width="15.6640625" style="438" bestFit="1" customWidth="1"/>
    <col min="14609" max="14609" width="14.109375" style="438" bestFit="1" customWidth="1"/>
    <col min="14610" max="14610" width="8.88671875" style="438"/>
    <col min="14611" max="14611" width="15.88671875" style="438" customWidth="1"/>
    <col min="14612" max="14851" width="8.88671875" style="438"/>
    <col min="14852" max="14852" width="10.109375" style="438" bestFit="1" customWidth="1"/>
    <col min="14853" max="14853" width="11.5546875" style="438" bestFit="1" customWidth="1"/>
    <col min="14854" max="14854" width="26.109375" style="438" bestFit="1" customWidth="1"/>
    <col min="14855" max="14856" width="13.77734375" style="438" customWidth="1"/>
    <col min="14857" max="14857" width="0" style="438" hidden="1" customWidth="1"/>
    <col min="14858" max="14858" width="14" style="438" bestFit="1" customWidth="1"/>
    <col min="14859" max="14859" width="26.44140625" style="438" customWidth="1"/>
    <col min="14860" max="14860" width="10.6640625" style="438" customWidth="1"/>
    <col min="14861" max="14861" width="17.88671875" style="438" customWidth="1"/>
    <col min="14862" max="14862" width="14.109375" style="438" bestFit="1" customWidth="1"/>
    <col min="14863" max="14863" width="12.6640625" style="438" customWidth="1"/>
    <col min="14864" max="14864" width="15.6640625" style="438" bestFit="1" customWidth="1"/>
    <col min="14865" max="14865" width="14.109375" style="438" bestFit="1" customWidth="1"/>
    <col min="14866" max="14866" width="8.88671875" style="438"/>
    <col min="14867" max="14867" width="15.88671875" style="438" customWidth="1"/>
    <col min="14868" max="15107" width="8.88671875" style="438"/>
    <col min="15108" max="15108" width="10.109375" style="438" bestFit="1" customWidth="1"/>
    <col min="15109" max="15109" width="11.5546875" style="438" bestFit="1" customWidth="1"/>
    <col min="15110" max="15110" width="26.109375" style="438" bestFit="1" customWidth="1"/>
    <col min="15111" max="15112" width="13.77734375" style="438" customWidth="1"/>
    <col min="15113" max="15113" width="0" style="438" hidden="1" customWidth="1"/>
    <col min="15114" max="15114" width="14" style="438" bestFit="1" customWidth="1"/>
    <col min="15115" max="15115" width="26.44140625" style="438" customWidth="1"/>
    <col min="15116" max="15116" width="10.6640625" style="438" customWidth="1"/>
    <col min="15117" max="15117" width="17.88671875" style="438" customWidth="1"/>
    <col min="15118" max="15118" width="14.109375" style="438" bestFit="1" customWidth="1"/>
    <col min="15119" max="15119" width="12.6640625" style="438" customWidth="1"/>
    <col min="15120" max="15120" width="15.6640625" style="438" bestFit="1" customWidth="1"/>
    <col min="15121" max="15121" width="14.109375" style="438" bestFit="1" customWidth="1"/>
    <col min="15122" max="15122" width="8.88671875" style="438"/>
    <col min="15123" max="15123" width="15.88671875" style="438" customWidth="1"/>
    <col min="15124" max="15363" width="8.88671875" style="438"/>
    <col min="15364" max="15364" width="10.109375" style="438" bestFit="1" customWidth="1"/>
    <col min="15365" max="15365" width="11.5546875" style="438" bestFit="1" customWidth="1"/>
    <col min="15366" max="15366" width="26.109375" style="438" bestFit="1" customWidth="1"/>
    <col min="15367" max="15368" width="13.77734375" style="438" customWidth="1"/>
    <col min="15369" max="15369" width="0" style="438" hidden="1" customWidth="1"/>
    <col min="15370" max="15370" width="14" style="438" bestFit="1" customWidth="1"/>
    <col min="15371" max="15371" width="26.44140625" style="438" customWidth="1"/>
    <col min="15372" max="15372" width="10.6640625" style="438" customWidth="1"/>
    <col min="15373" max="15373" width="17.88671875" style="438" customWidth="1"/>
    <col min="15374" max="15374" width="14.109375" style="438" bestFit="1" customWidth="1"/>
    <col min="15375" max="15375" width="12.6640625" style="438" customWidth="1"/>
    <col min="15376" max="15376" width="15.6640625" style="438" bestFit="1" customWidth="1"/>
    <col min="15377" max="15377" width="14.109375" style="438" bestFit="1" customWidth="1"/>
    <col min="15378" max="15378" width="8.88671875" style="438"/>
    <col min="15379" max="15379" width="15.88671875" style="438" customWidth="1"/>
    <col min="15380" max="15619" width="8.88671875" style="438"/>
    <col min="15620" max="15620" width="10.109375" style="438" bestFit="1" customWidth="1"/>
    <col min="15621" max="15621" width="11.5546875" style="438" bestFit="1" customWidth="1"/>
    <col min="15622" max="15622" width="26.109375" style="438" bestFit="1" customWidth="1"/>
    <col min="15623" max="15624" width="13.77734375" style="438" customWidth="1"/>
    <col min="15625" max="15625" width="0" style="438" hidden="1" customWidth="1"/>
    <col min="15626" max="15626" width="14" style="438" bestFit="1" customWidth="1"/>
    <col min="15627" max="15627" width="26.44140625" style="438" customWidth="1"/>
    <col min="15628" max="15628" width="10.6640625" style="438" customWidth="1"/>
    <col min="15629" max="15629" width="17.88671875" style="438" customWidth="1"/>
    <col min="15630" max="15630" width="14.109375" style="438" bestFit="1" customWidth="1"/>
    <col min="15631" max="15631" width="12.6640625" style="438" customWidth="1"/>
    <col min="15632" max="15632" width="15.6640625" style="438" bestFit="1" customWidth="1"/>
    <col min="15633" max="15633" width="14.109375" style="438" bestFit="1" customWidth="1"/>
    <col min="15634" max="15634" width="8.88671875" style="438"/>
    <col min="15635" max="15635" width="15.88671875" style="438" customWidth="1"/>
    <col min="15636" max="15875" width="8.88671875" style="438"/>
    <col min="15876" max="15876" width="10.109375" style="438" bestFit="1" customWidth="1"/>
    <col min="15877" max="15877" width="11.5546875" style="438" bestFit="1" customWidth="1"/>
    <col min="15878" max="15878" width="26.109375" style="438" bestFit="1" customWidth="1"/>
    <col min="15879" max="15880" width="13.77734375" style="438" customWidth="1"/>
    <col min="15881" max="15881" width="0" style="438" hidden="1" customWidth="1"/>
    <col min="15882" max="15882" width="14" style="438" bestFit="1" customWidth="1"/>
    <col min="15883" max="15883" width="26.44140625" style="438" customWidth="1"/>
    <col min="15884" max="15884" width="10.6640625" style="438" customWidth="1"/>
    <col min="15885" max="15885" width="17.88671875" style="438" customWidth="1"/>
    <col min="15886" max="15886" width="14.109375" style="438" bestFit="1" customWidth="1"/>
    <col min="15887" max="15887" width="12.6640625" style="438" customWidth="1"/>
    <col min="15888" max="15888" width="15.6640625" style="438" bestFit="1" customWidth="1"/>
    <col min="15889" max="15889" width="14.109375" style="438" bestFit="1" customWidth="1"/>
    <col min="15890" max="15890" width="8.88671875" style="438"/>
    <col min="15891" max="15891" width="15.88671875" style="438" customWidth="1"/>
    <col min="15892" max="16131" width="8.88671875" style="438"/>
    <col min="16132" max="16132" width="10.109375" style="438" bestFit="1" customWidth="1"/>
    <col min="16133" max="16133" width="11.5546875" style="438" bestFit="1" customWidth="1"/>
    <col min="16134" max="16134" width="26.109375" style="438" bestFit="1" customWidth="1"/>
    <col min="16135" max="16136" width="13.77734375" style="438" customWidth="1"/>
    <col min="16137" max="16137" width="0" style="438" hidden="1" customWidth="1"/>
    <col min="16138" max="16138" width="14" style="438" bestFit="1" customWidth="1"/>
    <col min="16139" max="16139" width="26.44140625" style="438" customWidth="1"/>
    <col min="16140" max="16140" width="10.6640625" style="438" customWidth="1"/>
    <col min="16141" max="16141" width="17.88671875" style="438" customWidth="1"/>
    <col min="16142" max="16142" width="14.109375" style="438" bestFit="1" customWidth="1"/>
    <col min="16143" max="16143" width="12.6640625" style="438" customWidth="1"/>
    <col min="16144" max="16144" width="15.6640625" style="438" bestFit="1" customWidth="1"/>
    <col min="16145" max="16145" width="14.109375" style="438" bestFit="1" customWidth="1"/>
    <col min="16146" max="16146" width="8.88671875" style="438"/>
    <col min="16147" max="16147" width="15.88671875" style="438" customWidth="1"/>
    <col min="16148" max="16384" width="8.88671875" style="438"/>
  </cols>
  <sheetData>
    <row r="1" spans="1:24" ht="30.75" customHeight="1">
      <c r="A1" s="1580" t="s">
        <v>723</v>
      </c>
      <c r="B1" s="1581"/>
      <c r="C1" s="1581"/>
      <c r="D1" s="1581"/>
      <c r="E1" s="1581"/>
      <c r="F1" s="1581"/>
      <c r="G1" s="1581"/>
      <c r="H1" s="1581"/>
      <c r="I1" s="1581"/>
      <c r="J1" s="1581"/>
      <c r="K1" s="1581"/>
      <c r="L1" s="1581"/>
      <c r="M1" s="1581"/>
      <c r="N1" s="1582"/>
      <c r="P1" s="438">
        <f>P4-P5</f>
        <v>0</v>
      </c>
      <c r="Q1" s="438">
        <f t="shared" ref="Q1:V1" si="0">Q4-Q5</f>
        <v>0</v>
      </c>
      <c r="R1" s="438">
        <f t="shared" si="0"/>
        <v>0</v>
      </c>
      <c r="S1" s="438">
        <f t="shared" si="0"/>
        <v>0</v>
      </c>
      <c r="T1" s="438">
        <f t="shared" si="0"/>
        <v>0</v>
      </c>
      <c r="U1" s="438">
        <f t="shared" si="0"/>
        <v>0</v>
      </c>
      <c r="V1" s="438">
        <f t="shared" si="0"/>
        <v>0</v>
      </c>
    </row>
    <row r="2" spans="1:24" ht="19.5" customHeight="1" thickBot="1">
      <c r="A2" s="1583" t="s">
        <v>374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  <c r="M2" s="1584"/>
      <c r="N2" s="1585"/>
      <c r="O2" s="438">
        <f>O4-O5</f>
        <v>0</v>
      </c>
      <c r="P2" s="925" t="s">
        <v>33</v>
      </c>
      <c r="Q2" s="925" t="s">
        <v>452</v>
      </c>
      <c r="R2" s="925" t="s">
        <v>459</v>
      </c>
      <c r="S2" s="925" t="s">
        <v>208</v>
      </c>
      <c r="T2" s="925" t="s">
        <v>209</v>
      </c>
      <c r="U2" s="926" t="s">
        <v>476</v>
      </c>
      <c r="V2" s="926" t="s">
        <v>36</v>
      </c>
      <c r="W2" s="925" t="s">
        <v>204</v>
      </c>
      <c r="X2" s="519"/>
    </row>
    <row r="3" spans="1:24" ht="15" thickBot="1">
      <c r="A3" s="1586" t="s">
        <v>31</v>
      </c>
      <c r="B3" s="1586"/>
      <c r="C3" s="1586"/>
      <c r="D3" s="1553" t="s">
        <v>255</v>
      </c>
      <c r="E3" s="1553" t="s">
        <v>256</v>
      </c>
      <c r="F3" s="1553" t="s">
        <v>257</v>
      </c>
      <c r="G3" s="1553" t="s">
        <v>691</v>
      </c>
      <c r="H3" s="1587" t="s">
        <v>32</v>
      </c>
      <c r="I3" s="1588"/>
      <c r="J3" s="1588"/>
      <c r="K3" s="1588"/>
      <c r="L3" s="1588"/>
      <c r="M3" s="1589"/>
      <c r="N3" s="1593" t="s">
        <v>37</v>
      </c>
    </row>
    <row r="4" spans="1:24" ht="15" thickBot="1">
      <c r="A4" s="763" t="s">
        <v>38</v>
      </c>
      <c r="B4" s="763" t="s">
        <v>39</v>
      </c>
      <c r="C4" s="764" t="s">
        <v>40</v>
      </c>
      <c r="D4" s="1554"/>
      <c r="E4" s="1554"/>
      <c r="F4" s="1554"/>
      <c r="G4" s="1554"/>
      <c r="H4" s="1590"/>
      <c r="I4" s="1591"/>
      <c r="J4" s="1591"/>
      <c r="K4" s="1591"/>
      <c r="L4" s="1591"/>
      <c r="M4" s="1592"/>
      <c r="N4" s="1594"/>
      <c r="O4" s="438">
        <f>SUM(P4:V4)</f>
        <v>2107383054</v>
      </c>
      <c r="P4" s="519">
        <v>1938185280</v>
      </c>
      <c r="Q4" s="438">
        <v>15000000</v>
      </c>
      <c r="R4" s="438">
        <v>36569474</v>
      </c>
      <c r="S4" s="438">
        <v>15898687</v>
      </c>
      <c r="T4" s="438">
        <v>26689449</v>
      </c>
      <c r="U4" s="438">
        <v>49098232</v>
      </c>
      <c r="V4" s="438">
        <v>25941932</v>
      </c>
      <c r="X4" s="519" t="s">
        <v>618</v>
      </c>
    </row>
    <row r="5" spans="1:24" ht="15" thickBot="1">
      <c r="A5" s="1574" t="s">
        <v>41</v>
      </c>
      <c r="B5" s="1575"/>
      <c r="C5" s="1576"/>
      <c r="D5" s="766">
        <f>D6+D263+D278+D334+D345</f>
        <v>2263747735</v>
      </c>
      <c r="E5" s="766">
        <v>2221710128</v>
      </c>
      <c r="F5" s="766">
        <f>F6+F263+F278+F334+F345</f>
        <v>2107383054</v>
      </c>
      <c r="G5" s="571">
        <f>F5-E5</f>
        <v>-114327074</v>
      </c>
      <c r="H5" s="1028"/>
      <c r="I5" s="1029"/>
      <c r="J5" s="1030"/>
      <c r="K5" s="1030"/>
      <c r="L5" s="1031"/>
      <c r="M5" s="1031"/>
      <c r="N5" s="1032">
        <f>N6+N263+N278+N334+N345</f>
        <v>2107383054</v>
      </c>
      <c r="O5" s="438">
        <f>SUM(P5:V5)</f>
        <v>2107383054</v>
      </c>
      <c r="P5" s="438">
        <f>P168+P263+P278+P347+P7+P334</f>
        <v>1938185280</v>
      </c>
      <c r="Q5" s="438">
        <f>Q168+Q263+Q278+Q7+Q161</f>
        <v>15000000</v>
      </c>
      <c r="R5" s="438">
        <f>R168+R263+R278+R7+R161</f>
        <v>36569474</v>
      </c>
      <c r="S5" s="438">
        <f>S168+S263+S278+S7+S161</f>
        <v>15898687</v>
      </c>
      <c r="T5" s="438">
        <f>T168+T263+T278+T7+T161</f>
        <v>26689449</v>
      </c>
      <c r="U5" s="438">
        <f>U168+U263+U278+U334</f>
        <v>49098232</v>
      </c>
      <c r="V5" s="438">
        <f>V168+V263+V278+V334</f>
        <v>25941932</v>
      </c>
      <c r="W5" s="438">
        <f>W336</f>
        <v>0</v>
      </c>
      <c r="X5" s="519" t="s">
        <v>619</v>
      </c>
    </row>
    <row r="6" spans="1:24" ht="15" thickBot="1">
      <c r="A6" s="571" t="s">
        <v>184</v>
      </c>
      <c r="B6" s="571"/>
      <c r="C6" s="571" t="s">
        <v>42</v>
      </c>
      <c r="D6" s="767">
        <f>D7+D168+D255</f>
        <v>946030160</v>
      </c>
      <c r="E6" s="767">
        <v>982653368</v>
      </c>
      <c r="F6" s="767">
        <f>F7+F168+F255</f>
        <v>965059095</v>
      </c>
      <c r="G6" s="571">
        <f>F6-E6</f>
        <v>-17594273</v>
      </c>
      <c r="H6" s="1033"/>
      <c r="I6" s="1034"/>
      <c r="J6" s="1035"/>
      <c r="K6" s="1035"/>
      <c r="L6" s="1036"/>
      <c r="M6" s="1037"/>
      <c r="N6" s="1038">
        <f>N7+N168+N255</f>
        <v>965059095</v>
      </c>
    </row>
    <row r="7" spans="1:24" ht="15" thickBot="1">
      <c r="A7" s="768"/>
      <c r="B7" s="769" t="s">
        <v>44</v>
      </c>
      <c r="C7" s="575"/>
      <c r="D7" s="770">
        <f>D8+D39+D162+D142</f>
        <v>823750330</v>
      </c>
      <c r="E7" s="770">
        <v>862387894</v>
      </c>
      <c r="F7" s="770">
        <f>F8+F39+F162+F142</f>
        <v>845827729</v>
      </c>
      <c r="G7" s="571">
        <f>F7-E7</f>
        <v>-16560165</v>
      </c>
      <c r="H7" s="1039"/>
      <c r="I7" s="1040"/>
      <c r="J7" s="1041"/>
      <c r="K7" s="1041"/>
      <c r="L7" s="1042"/>
      <c r="M7" s="1042"/>
      <c r="N7" s="1043">
        <f>N8+N162+N142</f>
        <v>845827729</v>
      </c>
      <c r="P7" s="438">
        <f>N7-3660000-305000-1407219</f>
        <v>840455510</v>
      </c>
      <c r="Q7" s="438">
        <v>1840000</v>
      </c>
      <c r="R7" s="438">
        <f>1820000+1407219</f>
        <v>3227219</v>
      </c>
    </row>
    <row r="8" spans="1:24" ht="15" thickBot="1">
      <c r="A8" s="768"/>
      <c r="B8" s="768"/>
      <c r="C8" s="570" t="s">
        <v>159</v>
      </c>
      <c r="D8" s="578">
        <f>696197780-D39</f>
        <v>547659000</v>
      </c>
      <c r="E8" s="578">
        <v>570354968</v>
      </c>
      <c r="F8" s="578">
        <f>N9</f>
        <v>562150970</v>
      </c>
      <c r="G8" s="570">
        <f>F8-E8</f>
        <v>-8203998</v>
      </c>
      <c r="H8" s="1577" t="s">
        <v>44</v>
      </c>
      <c r="I8" s="1578"/>
      <c r="J8" s="1578"/>
      <c r="K8" s="1578"/>
      <c r="L8" s="1578"/>
      <c r="M8" s="1579"/>
      <c r="N8" s="1044">
        <f>N9+N39</f>
        <v>714405020</v>
      </c>
    </row>
    <row r="9" spans="1:24" ht="15" thickBot="1">
      <c r="A9" s="768"/>
      <c r="B9" s="768"/>
      <c r="C9" s="771"/>
      <c r="D9" s="772"/>
      <c r="E9" s="773"/>
      <c r="F9" s="773"/>
      <c r="G9" s="772"/>
      <c r="H9" s="1045" t="s">
        <v>3</v>
      </c>
      <c r="I9" s="1046"/>
      <c r="J9" s="1047"/>
      <c r="K9" s="1047"/>
      <c r="L9" s="1048"/>
      <c r="M9" s="1049"/>
      <c r="N9" s="1050">
        <f>SUM(N11:N38)</f>
        <v>562150970</v>
      </c>
    </row>
    <row r="10" spans="1:24" ht="15" thickBot="1">
      <c r="A10" s="768"/>
      <c r="B10" s="768"/>
      <c r="C10" s="771"/>
      <c r="D10" s="772"/>
      <c r="E10" s="768"/>
      <c r="F10" s="768"/>
      <c r="G10" s="772"/>
      <c r="H10" s="1045" t="s">
        <v>375</v>
      </c>
      <c r="I10" s="1046" t="s">
        <v>376</v>
      </c>
      <c r="J10" s="1048"/>
      <c r="K10" s="1048"/>
      <c r="L10" s="1048"/>
      <c r="M10" s="1049"/>
      <c r="N10" s="1051" t="s">
        <v>37</v>
      </c>
    </row>
    <row r="11" spans="1:24" ht="22.5" customHeight="1">
      <c r="A11" s="768"/>
      <c r="B11" s="768"/>
      <c r="C11" s="771"/>
      <c r="D11" s="772"/>
      <c r="E11" s="768"/>
      <c r="F11" s="768"/>
      <c r="G11" s="772"/>
      <c r="H11" s="1595" t="s">
        <v>534</v>
      </c>
      <c r="I11" s="1053">
        <v>5374000</v>
      </c>
      <c r="J11" s="1054">
        <v>10</v>
      </c>
      <c r="K11" s="1053" t="s">
        <v>453</v>
      </c>
      <c r="L11" s="1053"/>
      <c r="M11" s="1600" t="s">
        <v>33</v>
      </c>
      <c r="N11" s="1055">
        <f>I11*J11</f>
        <v>53740000</v>
      </c>
    </row>
    <row r="12" spans="1:24" ht="22.5" customHeight="1">
      <c r="A12" s="768"/>
      <c r="B12" s="768"/>
      <c r="C12" s="771"/>
      <c r="D12" s="772"/>
      <c r="E12" s="768"/>
      <c r="F12" s="768"/>
      <c r="G12" s="772"/>
      <c r="H12" s="1596"/>
      <c r="I12" s="1056">
        <v>5429000</v>
      </c>
      <c r="J12" s="1057">
        <v>2</v>
      </c>
      <c r="K12" s="1056" t="s">
        <v>453</v>
      </c>
      <c r="L12" s="1056"/>
      <c r="M12" s="1601"/>
      <c r="N12" s="1058">
        <f t="shared" ref="N12:N38" si="1">I12*J12</f>
        <v>10858000</v>
      </c>
    </row>
    <row r="13" spans="1:24" ht="22.5" customHeight="1">
      <c r="A13" s="768"/>
      <c r="B13" s="768"/>
      <c r="C13" s="771"/>
      <c r="D13" s="772"/>
      <c r="E13" s="768"/>
      <c r="F13" s="768"/>
      <c r="G13" s="772"/>
      <c r="H13" s="1595" t="s">
        <v>532</v>
      </c>
      <c r="I13" s="1053">
        <v>3499000</v>
      </c>
      <c r="J13" s="1054">
        <v>3</v>
      </c>
      <c r="K13" s="1053" t="s">
        <v>453</v>
      </c>
      <c r="L13" s="1053"/>
      <c r="M13" s="1600" t="s">
        <v>33</v>
      </c>
      <c r="N13" s="1059">
        <f t="shared" si="1"/>
        <v>10497000</v>
      </c>
    </row>
    <row r="14" spans="1:24" ht="22.5" customHeight="1">
      <c r="A14" s="768"/>
      <c r="B14" s="768"/>
      <c r="C14" s="771"/>
      <c r="D14" s="772"/>
      <c r="E14" s="768"/>
      <c r="F14" s="768"/>
      <c r="G14" s="772"/>
      <c r="H14" s="1597"/>
      <c r="I14" s="1060">
        <v>3550000</v>
      </c>
      <c r="J14" s="1061">
        <v>9</v>
      </c>
      <c r="K14" s="1060" t="s">
        <v>453</v>
      </c>
      <c r="L14" s="1060"/>
      <c r="M14" s="1602"/>
      <c r="N14" s="1062">
        <f t="shared" si="1"/>
        <v>31950000</v>
      </c>
    </row>
    <row r="15" spans="1:24" ht="22.5" customHeight="1">
      <c r="A15" s="768"/>
      <c r="B15" s="768"/>
      <c r="C15" s="771"/>
      <c r="D15" s="772"/>
      <c r="E15" s="768"/>
      <c r="F15" s="768"/>
      <c r="G15" s="772"/>
      <c r="H15" s="1595" t="s">
        <v>530</v>
      </c>
      <c r="I15" s="1001">
        <v>4126000</v>
      </c>
      <c r="J15" s="1063">
        <v>6</v>
      </c>
      <c r="K15" s="1001" t="s">
        <v>453</v>
      </c>
      <c r="L15" s="1001"/>
      <c r="M15" s="1603" t="s">
        <v>33</v>
      </c>
      <c r="N15" s="1064">
        <f t="shared" si="1"/>
        <v>24756000</v>
      </c>
    </row>
    <row r="16" spans="1:24" ht="22.5" customHeight="1">
      <c r="A16" s="768"/>
      <c r="B16" s="768"/>
      <c r="C16" s="771"/>
      <c r="D16" s="772"/>
      <c r="E16" s="768"/>
      <c r="F16" s="768"/>
      <c r="G16" s="772"/>
      <c r="H16" s="1597"/>
      <c r="I16" s="1056">
        <v>4178000</v>
      </c>
      <c r="J16" s="1057">
        <v>6</v>
      </c>
      <c r="K16" s="1056" t="s">
        <v>453</v>
      </c>
      <c r="L16" s="1056"/>
      <c r="M16" s="1601"/>
      <c r="N16" s="1058">
        <f t="shared" si="1"/>
        <v>25068000</v>
      </c>
    </row>
    <row r="17" spans="1:14" ht="22.5" customHeight="1">
      <c r="A17" s="768"/>
      <c r="B17" s="768"/>
      <c r="C17" s="771"/>
      <c r="D17" s="772"/>
      <c r="E17" s="768"/>
      <c r="F17" s="768"/>
      <c r="G17" s="772"/>
      <c r="H17" s="1595" t="s">
        <v>530</v>
      </c>
      <c r="I17" s="1053">
        <v>3890000</v>
      </c>
      <c r="J17" s="1054">
        <v>8</v>
      </c>
      <c r="K17" s="1053" t="s">
        <v>453</v>
      </c>
      <c r="L17" s="1053"/>
      <c r="M17" s="1600" t="s">
        <v>33</v>
      </c>
      <c r="N17" s="1059">
        <f t="shared" si="1"/>
        <v>31120000</v>
      </c>
    </row>
    <row r="18" spans="1:14" ht="22.5" customHeight="1">
      <c r="A18" s="768"/>
      <c r="B18" s="768"/>
      <c r="C18" s="771"/>
      <c r="D18" s="772"/>
      <c r="E18" s="768"/>
      <c r="F18" s="768"/>
      <c r="G18" s="772"/>
      <c r="H18" s="1597"/>
      <c r="I18" s="1060">
        <v>3951000</v>
      </c>
      <c r="J18" s="1061">
        <v>4</v>
      </c>
      <c r="K18" s="1060" t="s">
        <v>453</v>
      </c>
      <c r="L18" s="1060"/>
      <c r="M18" s="1602"/>
      <c r="N18" s="1062">
        <f t="shared" si="1"/>
        <v>15804000</v>
      </c>
    </row>
    <row r="19" spans="1:14" ht="22.5" customHeight="1">
      <c r="A19" s="768"/>
      <c r="B19" s="768"/>
      <c r="C19" s="771"/>
      <c r="D19" s="772"/>
      <c r="E19" s="768"/>
      <c r="F19" s="768"/>
      <c r="G19" s="772"/>
      <c r="H19" s="1595" t="s">
        <v>530</v>
      </c>
      <c r="I19" s="1001">
        <v>4013000</v>
      </c>
      <c r="J19" s="1063">
        <v>11</v>
      </c>
      <c r="K19" s="1001" t="s">
        <v>453</v>
      </c>
      <c r="L19" s="1001"/>
      <c r="M19" s="1603" t="s">
        <v>33</v>
      </c>
      <c r="N19" s="1064">
        <f t="shared" si="1"/>
        <v>44143000</v>
      </c>
    </row>
    <row r="20" spans="1:14" ht="22.5" customHeight="1">
      <c r="A20" s="768"/>
      <c r="B20" s="768"/>
      <c r="C20" s="771"/>
      <c r="D20" s="772"/>
      <c r="E20" s="768"/>
      <c r="F20" s="768"/>
      <c r="G20" s="772"/>
      <c r="H20" s="1597"/>
      <c r="I20" s="1056">
        <v>4070000</v>
      </c>
      <c r="J20" s="1057">
        <v>1</v>
      </c>
      <c r="K20" s="1056" t="s">
        <v>453</v>
      </c>
      <c r="L20" s="1056"/>
      <c r="M20" s="1601"/>
      <c r="N20" s="1058">
        <f t="shared" si="1"/>
        <v>4070000</v>
      </c>
    </row>
    <row r="21" spans="1:14" ht="22.5" customHeight="1">
      <c r="A21" s="768"/>
      <c r="B21" s="768"/>
      <c r="C21" s="771"/>
      <c r="D21" s="772"/>
      <c r="E21" s="768"/>
      <c r="F21" s="768"/>
      <c r="G21" s="772"/>
      <c r="H21" s="1065" t="s">
        <v>536</v>
      </c>
      <c r="I21" s="1066">
        <v>2821000</v>
      </c>
      <c r="J21" s="1067">
        <v>4</v>
      </c>
      <c r="K21" s="1066" t="s">
        <v>453</v>
      </c>
      <c r="L21" s="1066" t="s">
        <v>696</v>
      </c>
      <c r="M21" s="1068" t="s">
        <v>33</v>
      </c>
      <c r="N21" s="1069">
        <f t="shared" si="1"/>
        <v>11284000</v>
      </c>
    </row>
    <row r="22" spans="1:14" ht="22.5" customHeight="1">
      <c r="A22" s="768"/>
      <c r="B22" s="768"/>
      <c r="C22" s="771"/>
      <c r="D22" s="772"/>
      <c r="E22" s="768"/>
      <c r="F22" s="768"/>
      <c r="G22" s="772"/>
      <c r="H22" s="1598" t="s">
        <v>535</v>
      </c>
      <c r="I22" s="1001">
        <v>2879000</v>
      </c>
      <c r="J22" s="1063">
        <v>4</v>
      </c>
      <c r="K22" s="1001" t="s">
        <v>453</v>
      </c>
      <c r="L22" s="1001"/>
      <c r="M22" s="1603" t="s">
        <v>33</v>
      </c>
      <c r="N22" s="1064">
        <f t="shared" si="1"/>
        <v>11516000</v>
      </c>
    </row>
    <row r="23" spans="1:14" ht="22.5" customHeight="1">
      <c r="A23" s="768"/>
      <c r="B23" s="768"/>
      <c r="C23" s="771"/>
      <c r="D23" s="772"/>
      <c r="E23" s="768"/>
      <c r="F23" s="768"/>
      <c r="G23" s="772"/>
      <c r="H23" s="1596"/>
      <c r="I23" s="1056">
        <v>2953000</v>
      </c>
      <c r="J23" s="1057">
        <v>8</v>
      </c>
      <c r="K23" s="1056" t="s">
        <v>453</v>
      </c>
      <c r="L23" s="1056"/>
      <c r="M23" s="1601"/>
      <c r="N23" s="1058">
        <f t="shared" si="1"/>
        <v>23624000</v>
      </c>
    </row>
    <row r="24" spans="1:14" ht="22.5" customHeight="1">
      <c r="A24" s="768"/>
      <c r="B24" s="768"/>
      <c r="C24" s="771"/>
      <c r="D24" s="772"/>
      <c r="E24" s="768"/>
      <c r="F24" s="768"/>
      <c r="G24" s="772"/>
      <c r="H24" s="1595" t="s">
        <v>535</v>
      </c>
      <c r="I24" s="1053">
        <v>2494000</v>
      </c>
      <c r="J24" s="1054">
        <v>11</v>
      </c>
      <c r="K24" s="1053" t="s">
        <v>453</v>
      </c>
      <c r="L24" s="1053"/>
      <c r="M24" s="1600" t="s">
        <v>33</v>
      </c>
      <c r="N24" s="1059">
        <f t="shared" si="1"/>
        <v>27434000</v>
      </c>
    </row>
    <row r="25" spans="1:14" ht="22.5" customHeight="1">
      <c r="A25" s="768"/>
      <c r="B25" s="768"/>
      <c r="C25" s="771"/>
      <c r="D25" s="772"/>
      <c r="E25" s="768"/>
      <c r="F25" s="768"/>
      <c r="G25" s="772"/>
      <c r="H25" s="1597"/>
      <c r="I25" s="1060">
        <v>2573000</v>
      </c>
      <c r="J25" s="1061">
        <v>1</v>
      </c>
      <c r="K25" s="1060" t="s">
        <v>453</v>
      </c>
      <c r="L25" s="1060"/>
      <c r="M25" s="1602"/>
      <c r="N25" s="1062">
        <f t="shared" si="1"/>
        <v>2573000</v>
      </c>
    </row>
    <row r="26" spans="1:14" ht="22.5" customHeight="1">
      <c r="A26" s="768"/>
      <c r="B26" s="768"/>
      <c r="C26" s="771"/>
      <c r="D26" s="772"/>
      <c r="E26" s="768"/>
      <c r="F26" s="768"/>
      <c r="G26" s="772"/>
      <c r="H26" s="1595" t="s">
        <v>536</v>
      </c>
      <c r="I26" s="1053">
        <v>2953000</v>
      </c>
      <c r="J26" s="1054">
        <v>10</v>
      </c>
      <c r="K26" s="1053" t="s">
        <v>453</v>
      </c>
      <c r="L26" s="1053"/>
      <c r="M26" s="1600" t="s">
        <v>33</v>
      </c>
      <c r="N26" s="1059">
        <f t="shared" si="1"/>
        <v>29530000</v>
      </c>
    </row>
    <row r="27" spans="1:14" ht="22.5" customHeight="1">
      <c r="A27" s="768"/>
      <c r="B27" s="768"/>
      <c r="C27" s="771"/>
      <c r="D27" s="772"/>
      <c r="E27" s="768"/>
      <c r="F27" s="768"/>
      <c r="G27" s="772"/>
      <c r="H27" s="1597"/>
      <c r="I27" s="1060">
        <v>3028000</v>
      </c>
      <c r="J27" s="1061">
        <v>2</v>
      </c>
      <c r="K27" s="1060" t="s">
        <v>453</v>
      </c>
      <c r="L27" s="1060"/>
      <c r="M27" s="1602"/>
      <c r="N27" s="1062">
        <f t="shared" si="1"/>
        <v>6056000</v>
      </c>
    </row>
    <row r="28" spans="1:14" ht="22.5" customHeight="1">
      <c r="A28" s="768"/>
      <c r="B28" s="768"/>
      <c r="C28" s="771"/>
      <c r="D28" s="772"/>
      <c r="E28" s="768"/>
      <c r="F28" s="768"/>
      <c r="G28" s="772"/>
      <c r="H28" s="1071" t="s">
        <v>536</v>
      </c>
      <c r="I28" s="1000">
        <v>2394000</v>
      </c>
      <c r="J28" s="1072">
        <v>6</v>
      </c>
      <c r="K28" s="1060" t="s">
        <v>453</v>
      </c>
      <c r="L28" s="1000" t="s">
        <v>700</v>
      </c>
      <c r="M28" s="1073" t="s">
        <v>33</v>
      </c>
      <c r="N28" s="1074">
        <f t="shared" si="1"/>
        <v>14364000</v>
      </c>
    </row>
    <row r="29" spans="1:14" ht="22.5" customHeight="1">
      <c r="A29" s="768"/>
      <c r="B29" s="768"/>
      <c r="C29" s="771"/>
      <c r="D29" s="772"/>
      <c r="E29" s="768"/>
      <c r="F29" s="768"/>
      <c r="G29" s="772"/>
      <c r="H29" s="1595" t="s">
        <v>537</v>
      </c>
      <c r="I29" s="1053">
        <v>1285970</v>
      </c>
      <c r="J29" s="1054">
        <v>1</v>
      </c>
      <c r="K29" s="1053" t="s">
        <v>453</v>
      </c>
      <c r="L29" s="1053"/>
      <c r="M29" s="1600" t="s">
        <v>33</v>
      </c>
      <c r="N29" s="1059">
        <f t="shared" si="1"/>
        <v>1285970</v>
      </c>
    </row>
    <row r="30" spans="1:14" ht="22.5" customHeight="1">
      <c r="A30" s="768"/>
      <c r="B30" s="768"/>
      <c r="C30" s="771"/>
      <c r="D30" s="772"/>
      <c r="E30" s="768"/>
      <c r="F30" s="768"/>
      <c r="G30" s="772"/>
      <c r="H30" s="1599"/>
      <c r="I30" s="1000">
        <v>2345000</v>
      </c>
      <c r="J30" s="1072">
        <v>3</v>
      </c>
      <c r="K30" s="1000" t="s">
        <v>650</v>
      </c>
      <c r="L30" s="1000"/>
      <c r="M30" s="1604"/>
      <c r="N30" s="1074">
        <f>I30*J30</f>
        <v>7035000</v>
      </c>
    </row>
    <row r="31" spans="1:14" ht="22.5" customHeight="1">
      <c r="A31" s="768"/>
      <c r="B31" s="768"/>
      <c r="C31" s="771"/>
      <c r="D31" s="772"/>
      <c r="E31" s="768"/>
      <c r="F31" s="768"/>
      <c r="G31" s="772"/>
      <c r="H31" s="1597"/>
      <c r="I31" s="1060">
        <v>2370000</v>
      </c>
      <c r="J31" s="1061">
        <v>8</v>
      </c>
      <c r="K31" s="1060" t="s">
        <v>453</v>
      </c>
      <c r="L31" s="1060"/>
      <c r="M31" s="1602"/>
      <c r="N31" s="1062">
        <f t="shared" si="1"/>
        <v>18960000</v>
      </c>
    </row>
    <row r="32" spans="1:14" ht="22.5" customHeight="1">
      <c r="A32" s="768"/>
      <c r="B32" s="768"/>
      <c r="C32" s="771"/>
      <c r="D32" s="772"/>
      <c r="E32" s="768"/>
      <c r="F32" s="768"/>
      <c r="G32" s="772"/>
      <c r="H32" s="1075" t="s">
        <v>539</v>
      </c>
      <c r="I32" s="1000">
        <v>3078000</v>
      </c>
      <c r="J32" s="1076">
        <v>12</v>
      </c>
      <c r="K32" s="1000" t="s">
        <v>453</v>
      </c>
      <c r="L32" s="1000"/>
      <c r="M32" s="1073" t="s">
        <v>33</v>
      </c>
      <c r="N32" s="1074">
        <f t="shared" si="1"/>
        <v>36936000</v>
      </c>
    </row>
    <row r="33" spans="1:14" ht="22.5" customHeight="1">
      <c r="A33" s="768"/>
      <c r="B33" s="768"/>
      <c r="C33" s="771"/>
      <c r="D33" s="772"/>
      <c r="E33" s="768"/>
      <c r="F33" s="768"/>
      <c r="G33" s="772"/>
      <c r="H33" s="1595" t="s">
        <v>541</v>
      </c>
      <c r="I33" s="1053">
        <v>2811000</v>
      </c>
      <c r="J33" s="1054">
        <v>5</v>
      </c>
      <c r="K33" s="1053" t="s">
        <v>453</v>
      </c>
      <c r="L33" s="1053"/>
      <c r="M33" s="1600" t="s">
        <v>33</v>
      </c>
      <c r="N33" s="1059">
        <f t="shared" si="1"/>
        <v>14055000</v>
      </c>
    </row>
    <row r="34" spans="1:14" ht="22.5" customHeight="1">
      <c r="A34" s="768"/>
      <c r="B34" s="768"/>
      <c r="C34" s="771"/>
      <c r="D34" s="772"/>
      <c r="E34" s="768"/>
      <c r="F34" s="768"/>
      <c r="G34" s="772"/>
      <c r="H34" s="1597"/>
      <c r="I34" s="1060">
        <v>2864000</v>
      </c>
      <c r="J34" s="1061">
        <v>7</v>
      </c>
      <c r="K34" s="1060" t="s">
        <v>453</v>
      </c>
      <c r="L34" s="1060"/>
      <c r="M34" s="1602"/>
      <c r="N34" s="1062">
        <f t="shared" si="1"/>
        <v>20048000</v>
      </c>
    </row>
    <row r="35" spans="1:14" ht="22.5" customHeight="1">
      <c r="A35" s="768"/>
      <c r="B35" s="768"/>
      <c r="C35" s="771"/>
      <c r="D35" s="772"/>
      <c r="E35" s="768"/>
      <c r="F35" s="768"/>
      <c r="G35" s="772"/>
      <c r="H35" s="1570" t="s">
        <v>542</v>
      </c>
      <c r="I35" s="1001">
        <v>2346000</v>
      </c>
      <c r="J35" s="1063">
        <v>8</v>
      </c>
      <c r="K35" s="1001" t="s">
        <v>453</v>
      </c>
      <c r="L35" s="1001"/>
      <c r="M35" s="1605" t="s">
        <v>33</v>
      </c>
      <c r="N35" s="1064">
        <f t="shared" si="1"/>
        <v>18768000</v>
      </c>
    </row>
    <row r="36" spans="1:14" ht="22.5" customHeight="1">
      <c r="A36" s="768"/>
      <c r="B36" s="768"/>
      <c r="C36" s="771"/>
      <c r="D36" s="772"/>
      <c r="E36" s="768"/>
      <c r="F36" s="768"/>
      <c r="G36" s="772"/>
      <c r="H36" s="1571"/>
      <c r="I36" s="1056">
        <v>2371000</v>
      </c>
      <c r="J36" s="1057">
        <v>4</v>
      </c>
      <c r="K36" s="1056" t="s">
        <v>453</v>
      </c>
      <c r="L36" s="1056"/>
      <c r="M36" s="1606"/>
      <c r="N36" s="1058">
        <f t="shared" si="1"/>
        <v>9484000</v>
      </c>
    </row>
    <row r="37" spans="1:14" ht="22.5" customHeight="1">
      <c r="A37" s="768"/>
      <c r="B37" s="768"/>
      <c r="C37" s="771"/>
      <c r="D37" s="772"/>
      <c r="E37" s="768"/>
      <c r="F37" s="768"/>
      <c r="G37" s="772"/>
      <c r="H37" s="1078" t="s">
        <v>542</v>
      </c>
      <c r="I37" s="1066">
        <v>2346000</v>
      </c>
      <c r="J37" s="1067">
        <v>12</v>
      </c>
      <c r="K37" s="1066" t="s">
        <v>453</v>
      </c>
      <c r="L37" s="1066"/>
      <c r="M37" s="1068" t="s">
        <v>33</v>
      </c>
      <c r="N37" s="1069">
        <f t="shared" si="1"/>
        <v>28152000</v>
      </c>
    </row>
    <row r="38" spans="1:14" ht="22.5" customHeight="1" thickBot="1">
      <c r="A38" s="768"/>
      <c r="B38" s="768"/>
      <c r="C38" s="771"/>
      <c r="D38" s="772"/>
      <c r="E38" s="768"/>
      <c r="F38" s="768"/>
      <c r="G38" s="772"/>
      <c r="H38" s="1079" t="s">
        <v>544</v>
      </c>
      <c r="I38" s="1080">
        <v>2420000</v>
      </c>
      <c r="J38" s="1081">
        <v>12</v>
      </c>
      <c r="K38" s="1080" t="s">
        <v>453</v>
      </c>
      <c r="L38" s="1080"/>
      <c r="M38" s="1082" t="s">
        <v>33</v>
      </c>
      <c r="N38" s="1083">
        <f t="shared" si="1"/>
        <v>29040000</v>
      </c>
    </row>
    <row r="39" spans="1:14" ht="15" thickBot="1">
      <c r="A39" s="768"/>
      <c r="B39" s="768"/>
      <c r="C39" s="570" t="s">
        <v>160</v>
      </c>
      <c r="D39" s="766">
        <f>D40+D59+D87+D107+D135+D138+D132</f>
        <v>148538780</v>
      </c>
      <c r="E39" s="570">
        <v>155679286</v>
      </c>
      <c r="F39" s="570">
        <f>F40+F59+F87+F107+F135+F138+F132</f>
        <v>152254050</v>
      </c>
      <c r="G39" s="571">
        <f>F39-E39</f>
        <v>-3425236</v>
      </c>
      <c r="H39" s="1084" t="s">
        <v>160</v>
      </c>
      <c r="I39" s="1085"/>
      <c r="J39" s="1086"/>
      <c r="K39" s="1086"/>
      <c r="L39" s="1086"/>
      <c r="M39" s="1087"/>
      <c r="N39" s="1088">
        <f>N40+N59+N87+N107+N135+N138+N132</f>
        <v>152254050</v>
      </c>
    </row>
    <row r="40" spans="1:14" ht="15" thickBot="1">
      <c r="A40" s="768"/>
      <c r="B40" s="768"/>
      <c r="C40" s="768"/>
      <c r="D40" s="765">
        <v>18000000</v>
      </c>
      <c r="E40" s="570">
        <v>21545806</v>
      </c>
      <c r="F40" s="719">
        <f>N40</f>
        <v>21305810</v>
      </c>
      <c r="G40" s="570">
        <f>F40-E40</f>
        <v>-239996</v>
      </c>
      <c r="H40" s="1089" t="s">
        <v>4</v>
      </c>
      <c r="I40" s="1090"/>
      <c r="J40" s="1091"/>
      <c r="K40" s="1091"/>
      <c r="L40" s="1092"/>
      <c r="M40" s="1093"/>
      <c r="N40" s="1094">
        <f>SUM(N42:N58)</f>
        <v>21305810</v>
      </c>
    </row>
    <row r="41" spans="1:14" ht="15" thickBot="1">
      <c r="A41" s="768"/>
      <c r="B41" s="768"/>
      <c r="C41" s="768"/>
      <c r="D41" s="772"/>
      <c r="E41" s="768"/>
      <c r="F41" s="768"/>
      <c r="G41" s="772"/>
      <c r="H41" s="1045" t="s">
        <v>375</v>
      </c>
      <c r="I41" s="1048" t="s">
        <v>376</v>
      </c>
      <c r="J41" s="1047"/>
      <c r="K41" s="1047"/>
      <c r="L41" s="1048"/>
      <c r="M41" s="1049"/>
      <c r="N41" s="1050" t="s">
        <v>37</v>
      </c>
    </row>
    <row r="42" spans="1:14" ht="24" customHeight="1">
      <c r="A42" s="768"/>
      <c r="B42" s="768"/>
      <c r="C42" s="768"/>
      <c r="D42" s="772"/>
      <c r="E42" s="768"/>
      <c r="F42" s="768"/>
      <c r="G42" s="772"/>
      <c r="H42" s="1095" t="s">
        <v>533</v>
      </c>
      <c r="I42" s="1096">
        <v>120000</v>
      </c>
      <c r="J42" s="1097">
        <v>12</v>
      </c>
      <c r="K42" s="1098" t="s">
        <v>453</v>
      </c>
      <c r="L42" s="1096"/>
      <c r="M42" s="1099" t="s">
        <v>33</v>
      </c>
      <c r="N42" s="1100">
        <f t="shared" ref="N42:N58" si="2">I42*J42</f>
        <v>1440000</v>
      </c>
    </row>
    <row r="43" spans="1:14" ht="24" customHeight="1">
      <c r="A43" s="768"/>
      <c r="B43" s="768"/>
      <c r="C43" s="768"/>
      <c r="D43" s="772"/>
      <c r="E43" s="768"/>
      <c r="F43" s="768"/>
      <c r="G43" s="772"/>
      <c r="H43" s="1078" t="s">
        <v>531</v>
      </c>
      <c r="I43" s="1101">
        <v>120000</v>
      </c>
      <c r="J43" s="1067">
        <v>12</v>
      </c>
      <c r="K43" s="1066" t="s">
        <v>453</v>
      </c>
      <c r="L43" s="1101"/>
      <c r="M43" s="1102" t="s">
        <v>33</v>
      </c>
      <c r="N43" s="1069">
        <f t="shared" si="2"/>
        <v>1440000</v>
      </c>
    </row>
    <row r="44" spans="1:14" ht="24" customHeight="1">
      <c r="A44" s="768"/>
      <c r="B44" s="768"/>
      <c r="C44" s="768"/>
      <c r="D44" s="772"/>
      <c r="E44" s="768"/>
      <c r="F44" s="768"/>
      <c r="G44" s="772"/>
      <c r="H44" s="1078" t="s">
        <v>529</v>
      </c>
      <c r="I44" s="1101">
        <v>120000</v>
      </c>
      <c r="J44" s="1067">
        <v>12</v>
      </c>
      <c r="K44" s="1066" t="s">
        <v>453</v>
      </c>
      <c r="L44" s="1101"/>
      <c r="M44" s="1102" t="s">
        <v>33</v>
      </c>
      <c r="N44" s="1069">
        <f t="shared" si="2"/>
        <v>1440000</v>
      </c>
    </row>
    <row r="45" spans="1:14" ht="24" customHeight="1">
      <c r="A45" s="768"/>
      <c r="B45" s="768"/>
      <c r="C45" s="768"/>
      <c r="D45" s="772"/>
      <c r="E45" s="768"/>
      <c r="F45" s="768"/>
      <c r="G45" s="772"/>
      <c r="H45" s="1065" t="s">
        <v>529</v>
      </c>
      <c r="I45" s="1101">
        <v>120000</v>
      </c>
      <c r="J45" s="1067">
        <v>12</v>
      </c>
      <c r="K45" s="1066" t="s">
        <v>453</v>
      </c>
      <c r="L45" s="1101"/>
      <c r="M45" s="1102" t="s">
        <v>33</v>
      </c>
      <c r="N45" s="1069">
        <f t="shared" si="2"/>
        <v>1440000</v>
      </c>
    </row>
    <row r="46" spans="1:14" ht="24" customHeight="1">
      <c r="A46" s="768"/>
      <c r="B46" s="768"/>
      <c r="C46" s="768"/>
      <c r="D46" s="772"/>
      <c r="E46" s="768"/>
      <c r="F46" s="768"/>
      <c r="G46" s="772"/>
      <c r="H46" s="1065" t="s">
        <v>529</v>
      </c>
      <c r="I46" s="1101">
        <v>120000</v>
      </c>
      <c r="J46" s="1067">
        <v>12</v>
      </c>
      <c r="K46" s="1066" t="s">
        <v>453</v>
      </c>
      <c r="L46" s="1101"/>
      <c r="M46" s="1102" t="s">
        <v>33</v>
      </c>
      <c r="N46" s="1069">
        <f t="shared" si="2"/>
        <v>1440000</v>
      </c>
    </row>
    <row r="47" spans="1:14" ht="24" customHeight="1">
      <c r="A47" s="768"/>
      <c r="B47" s="768"/>
      <c r="C47" s="768"/>
      <c r="D47" s="772"/>
      <c r="E47" s="768"/>
      <c r="F47" s="768"/>
      <c r="G47" s="772"/>
      <c r="H47" s="1065" t="s">
        <v>536</v>
      </c>
      <c r="I47" s="1101">
        <v>120000</v>
      </c>
      <c r="J47" s="1067">
        <v>4</v>
      </c>
      <c r="K47" s="1066" t="s">
        <v>453</v>
      </c>
      <c r="L47" s="1066" t="s">
        <v>696</v>
      </c>
      <c r="M47" s="1102" t="s">
        <v>33</v>
      </c>
      <c r="N47" s="1069">
        <f t="shared" si="2"/>
        <v>480000</v>
      </c>
    </row>
    <row r="48" spans="1:14" ht="24" customHeight="1">
      <c r="A48" s="768"/>
      <c r="B48" s="768"/>
      <c r="C48" s="768"/>
      <c r="D48" s="772"/>
      <c r="E48" s="768"/>
      <c r="F48" s="768"/>
      <c r="G48" s="772"/>
      <c r="H48" s="1065" t="s">
        <v>535</v>
      </c>
      <c r="I48" s="1101">
        <v>120000</v>
      </c>
      <c r="J48" s="1067">
        <v>12</v>
      </c>
      <c r="K48" s="1066" t="s">
        <v>453</v>
      </c>
      <c r="L48" s="1101"/>
      <c r="M48" s="1102" t="s">
        <v>33</v>
      </c>
      <c r="N48" s="1069">
        <f t="shared" si="2"/>
        <v>1440000</v>
      </c>
    </row>
    <row r="49" spans="1:18" ht="24" customHeight="1">
      <c r="A49" s="768"/>
      <c r="B49" s="768"/>
      <c r="C49" s="768"/>
      <c r="D49" s="772"/>
      <c r="E49" s="768"/>
      <c r="F49" s="768"/>
      <c r="G49" s="772"/>
      <c r="H49" s="1065" t="s">
        <v>535</v>
      </c>
      <c r="I49" s="1101">
        <v>120000</v>
      </c>
      <c r="J49" s="1067">
        <v>12</v>
      </c>
      <c r="K49" s="1066" t="s">
        <v>453</v>
      </c>
      <c r="L49" s="1101"/>
      <c r="M49" s="1102" t="s">
        <v>33</v>
      </c>
      <c r="N49" s="1069">
        <f t="shared" si="2"/>
        <v>1440000</v>
      </c>
    </row>
    <row r="50" spans="1:18" ht="24" customHeight="1">
      <c r="A50" s="768"/>
      <c r="B50" s="768"/>
      <c r="C50" s="768"/>
      <c r="D50" s="772"/>
      <c r="E50" s="768"/>
      <c r="F50" s="768"/>
      <c r="G50" s="772"/>
      <c r="H50" s="1065" t="s">
        <v>535</v>
      </c>
      <c r="I50" s="1101">
        <v>120000</v>
      </c>
      <c r="J50" s="1067">
        <v>12</v>
      </c>
      <c r="K50" s="1066" t="s">
        <v>453</v>
      </c>
      <c r="L50" s="1101"/>
      <c r="M50" s="1102" t="s">
        <v>33</v>
      </c>
      <c r="N50" s="1069">
        <f t="shared" si="2"/>
        <v>1440000</v>
      </c>
    </row>
    <row r="51" spans="1:18" ht="24" customHeight="1">
      <c r="A51" s="768"/>
      <c r="B51" s="768"/>
      <c r="C51" s="768"/>
      <c r="D51" s="772"/>
      <c r="E51" s="768"/>
      <c r="F51" s="768"/>
      <c r="G51" s="772"/>
      <c r="H51" s="1065" t="s">
        <v>535</v>
      </c>
      <c r="I51" s="1101">
        <v>120000</v>
      </c>
      <c r="J51" s="1067">
        <v>6</v>
      </c>
      <c r="K51" s="1066" t="s">
        <v>453</v>
      </c>
      <c r="L51" s="1066" t="s">
        <v>700</v>
      </c>
      <c r="M51" s="1102" t="s">
        <v>33</v>
      </c>
      <c r="N51" s="1069">
        <f t="shared" si="2"/>
        <v>720000</v>
      </c>
    </row>
    <row r="52" spans="1:18" ht="24" customHeight="1">
      <c r="A52" s="768"/>
      <c r="B52" s="768"/>
      <c r="C52" s="768"/>
      <c r="D52" s="772"/>
      <c r="E52" s="768"/>
      <c r="F52" s="768"/>
      <c r="G52" s="772"/>
      <c r="H52" s="1598" t="s">
        <v>695</v>
      </c>
      <c r="I52" s="1001">
        <v>65810</v>
      </c>
      <c r="J52" s="1063">
        <v>1</v>
      </c>
      <c r="K52" s="1001" t="s">
        <v>453</v>
      </c>
      <c r="L52" s="1001"/>
      <c r="M52" s="1603" t="s">
        <v>33</v>
      </c>
      <c r="N52" s="1064">
        <f t="shared" si="2"/>
        <v>65810</v>
      </c>
    </row>
    <row r="53" spans="1:18" ht="24" customHeight="1">
      <c r="A53" s="768"/>
      <c r="B53" s="768"/>
      <c r="C53" s="768"/>
      <c r="D53" s="772"/>
      <c r="E53" s="768"/>
      <c r="F53" s="768"/>
      <c r="G53" s="772"/>
      <c r="H53" s="1596"/>
      <c r="I53" s="1056">
        <v>120000</v>
      </c>
      <c r="J53" s="1057">
        <v>11</v>
      </c>
      <c r="K53" s="1056" t="s">
        <v>453</v>
      </c>
      <c r="L53" s="1056"/>
      <c r="M53" s="1601"/>
      <c r="N53" s="1103">
        <f>I53*J53</f>
        <v>1320000</v>
      </c>
    </row>
    <row r="54" spans="1:18" ht="24" customHeight="1">
      <c r="A54" s="768"/>
      <c r="B54" s="768"/>
      <c r="C54" s="768"/>
      <c r="D54" s="772"/>
      <c r="E54" s="768"/>
      <c r="F54" s="768"/>
      <c r="G54" s="772"/>
      <c r="H54" s="1104" t="s">
        <v>538</v>
      </c>
      <c r="I54" s="1101">
        <v>120000</v>
      </c>
      <c r="J54" s="1067">
        <v>12</v>
      </c>
      <c r="K54" s="1066" t="s">
        <v>453</v>
      </c>
      <c r="L54" s="1101"/>
      <c r="M54" s="1102" t="s">
        <v>33</v>
      </c>
      <c r="N54" s="1069">
        <f t="shared" si="2"/>
        <v>1440000</v>
      </c>
    </row>
    <row r="55" spans="1:18" ht="24" customHeight="1">
      <c r="A55" s="768"/>
      <c r="B55" s="768"/>
      <c r="C55" s="768"/>
      <c r="D55" s="772"/>
      <c r="E55" s="768"/>
      <c r="F55" s="768"/>
      <c r="G55" s="772"/>
      <c r="H55" s="1077" t="s">
        <v>540</v>
      </c>
      <c r="I55" s="1105">
        <v>120000</v>
      </c>
      <c r="J55" s="1106">
        <v>12</v>
      </c>
      <c r="K55" s="1107" t="s">
        <v>453</v>
      </c>
      <c r="L55" s="1105"/>
      <c r="M55" s="1108" t="s">
        <v>33</v>
      </c>
      <c r="N55" s="1109">
        <f t="shared" si="2"/>
        <v>1440000</v>
      </c>
    </row>
    <row r="56" spans="1:18" ht="24" customHeight="1">
      <c r="A56" s="768"/>
      <c r="B56" s="768"/>
      <c r="C56" s="768"/>
      <c r="D56" s="772"/>
      <c r="E56" s="768"/>
      <c r="F56" s="768"/>
      <c r="G56" s="772"/>
      <c r="H56" s="1104" t="s">
        <v>542</v>
      </c>
      <c r="I56" s="1101">
        <v>120000</v>
      </c>
      <c r="J56" s="1067">
        <v>12</v>
      </c>
      <c r="K56" s="1066" t="s">
        <v>453</v>
      </c>
      <c r="L56" s="1101"/>
      <c r="M56" s="1102" t="s">
        <v>33</v>
      </c>
      <c r="N56" s="1059">
        <f t="shared" si="2"/>
        <v>1440000</v>
      </c>
    </row>
    <row r="57" spans="1:18" ht="24" customHeight="1">
      <c r="A57" s="768"/>
      <c r="B57" s="768"/>
      <c r="C57" s="768"/>
      <c r="D57" s="772"/>
      <c r="E57" s="768"/>
      <c r="F57" s="768"/>
      <c r="G57" s="772"/>
      <c r="H57" s="1104" t="s">
        <v>542</v>
      </c>
      <c r="I57" s="1101">
        <v>120000</v>
      </c>
      <c r="J57" s="1067">
        <v>12</v>
      </c>
      <c r="K57" s="1066" t="s">
        <v>453</v>
      </c>
      <c r="L57" s="1101"/>
      <c r="M57" s="1102" t="s">
        <v>33</v>
      </c>
      <c r="N57" s="1059">
        <f t="shared" si="2"/>
        <v>1440000</v>
      </c>
    </row>
    <row r="58" spans="1:18" ht="24" customHeight="1" thickBot="1">
      <c r="A58" s="768"/>
      <c r="B58" s="768"/>
      <c r="C58" s="768"/>
      <c r="D58" s="772"/>
      <c r="E58" s="768"/>
      <c r="F58" s="768"/>
      <c r="G58" s="772"/>
      <c r="H58" s="1110" t="s">
        <v>544</v>
      </c>
      <c r="I58" s="1111">
        <v>120000</v>
      </c>
      <c r="J58" s="1112">
        <v>12</v>
      </c>
      <c r="K58" s="1113" t="s">
        <v>453</v>
      </c>
      <c r="L58" s="1111"/>
      <c r="M58" s="1114" t="s">
        <v>33</v>
      </c>
      <c r="N58" s="1115">
        <f t="shared" si="2"/>
        <v>1440000</v>
      </c>
    </row>
    <row r="59" spans="1:18" ht="15" thickBot="1">
      <c r="A59" s="768"/>
      <c r="B59" s="768"/>
      <c r="C59" s="771"/>
      <c r="D59" s="766">
        <v>54059580</v>
      </c>
      <c r="E59" s="570">
        <v>56624880</v>
      </c>
      <c r="F59" s="719">
        <f>N59</f>
        <v>55715840</v>
      </c>
      <c r="G59" s="570">
        <f>F59-E59</f>
        <v>-909040</v>
      </c>
      <c r="H59" s="1045" t="s">
        <v>6</v>
      </c>
      <c r="I59" s="1046"/>
      <c r="J59" s="1047"/>
      <c r="K59" s="1047"/>
      <c r="L59" s="1048"/>
      <c r="M59" s="1049"/>
      <c r="N59" s="1050">
        <f>SUM(N61:N86)</f>
        <v>55715840</v>
      </c>
    </row>
    <row r="60" spans="1:18" ht="15" thickBot="1">
      <c r="A60" s="768"/>
      <c r="B60" s="768"/>
      <c r="C60" s="771"/>
      <c r="D60" s="772"/>
      <c r="E60" s="773"/>
      <c r="F60" s="773"/>
      <c r="G60" s="772"/>
      <c r="H60" s="1045" t="s">
        <v>375</v>
      </c>
      <c r="I60" s="1048" t="s">
        <v>376</v>
      </c>
      <c r="J60" s="1047"/>
      <c r="K60" s="1047"/>
      <c r="L60" s="1048" t="s">
        <v>494</v>
      </c>
      <c r="M60" s="1049"/>
      <c r="N60" s="1116" t="s">
        <v>37</v>
      </c>
    </row>
    <row r="61" spans="1:18" ht="24" customHeight="1">
      <c r="A61" s="768"/>
      <c r="B61" s="768"/>
      <c r="C61" s="771"/>
      <c r="D61" s="772"/>
      <c r="E61" s="768"/>
      <c r="F61" s="768"/>
      <c r="G61" s="772"/>
      <c r="H61" s="1595" t="s">
        <v>532</v>
      </c>
      <c r="I61" s="1053">
        <v>3619000</v>
      </c>
      <c r="J61" s="1117">
        <v>3</v>
      </c>
      <c r="K61" s="1118" t="s">
        <v>453</v>
      </c>
      <c r="L61" s="1118" t="s">
        <v>482</v>
      </c>
      <c r="M61" s="1119" t="s">
        <v>33</v>
      </c>
      <c r="N61" s="1120">
        <v>1168800</v>
      </c>
      <c r="P61" s="526"/>
      <c r="Q61" s="443"/>
      <c r="R61" s="526"/>
    </row>
    <row r="62" spans="1:18" ht="24" customHeight="1">
      <c r="A62" s="768"/>
      <c r="B62" s="768"/>
      <c r="C62" s="771"/>
      <c r="D62" s="772"/>
      <c r="E62" s="768"/>
      <c r="F62" s="768"/>
      <c r="G62" s="772"/>
      <c r="H62" s="1597"/>
      <c r="I62" s="1060">
        <v>3670000</v>
      </c>
      <c r="J62" s="1057">
        <v>9</v>
      </c>
      <c r="K62" s="1056" t="s">
        <v>453</v>
      </c>
      <c r="L62" s="1056" t="s">
        <v>482</v>
      </c>
      <c r="M62" s="1121" t="s">
        <v>33</v>
      </c>
      <c r="N62" s="1122">
        <v>3555810</v>
      </c>
      <c r="P62" s="526"/>
      <c r="Q62" s="443"/>
      <c r="R62" s="526"/>
    </row>
    <row r="63" spans="1:18" ht="24" customHeight="1">
      <c r="A63" s="768"/>
      <c r="B63" s="768"/>
      <c r="C63" s="771"/>
      <c r="D63" s="772"/>
      <c r="E63" s="768"/>
      <c r="F63" s="768"/>
      <c r="G63" s="772"/>
      <c r="H63" s="1595" t="s">
        <v>530</v>
      </c>
      <c r="I63" s="1001">
        <v>4246000</v>
      </c>
      <c r="J63" s="1054">
        <v>6</v>
      </c>
      <c r="K63" s="1053" t="s">
        <v>453</v>
      </c>
      <c r="L63" s="1053" t="s">
        <v>482</v>
      </c>
      <c r="M63" s="1123" t="s">
        <v>33</v>
      </c>
      <c r="N63" s="1124">
        <v>2742600</v>
      </c>
      <c r="P63" s="526"/>
      <c r="Q63" s="443"/>
      <c r="R63" s="526"/>
    </row>
    <row r="64" spans="1:18" ht="24" customHeight="1">
      <c r="A64" s="768"/>
      <c r="B64" s="768"/>
      <c r="C64" s="771"/>
      <c r="D64" s="772"/>
      <c r="E64" s="768"/>
      <c r="F64" s="768"/>
      <c r="G64" s="772"/>
      <c r="H64" s="1597"/>
      <c r="I64" s="1056">
        <v>4298000</v>
      </c>
      <c r="J64" s="1061">
        <v>6</v>
      </c>
      <c r="K64" s="1060" t="s">
        <v>453</v>
      </c>
      <c r="L64" s="1060" t="s">
        <v>482</v>
      </c>
      <c r="M64" s="1125" t="s">
        <v>33</v>
      </c>
      <c r="N64" s="1126">
        <v>2776200</v>
      </c>
      <c r="P64" s="526"/>
      <c r="Q64" s="443"/>
      <c r="R64" s="526"/>
    </row>
    <row r="65" spans="1:18" ht="24" customHeight="1">
      <c r="A65" s="768"/>
      <c r="B65" s="768"/>
      <c r="C65" s="771"/>
      <c r="D65" s="772"/>
      <c r="E65" s="768"/>
      <c r="F65" s="768"/>
      <c r="G65" s="772"/>
      <c r="H65" s="1595" t="s">
        <v>530</v>
      </c>
      <c r="I65" s="1053">
        <v>4010000</v>
      </c>
      <c r="J65" s="1054">
        <v>8</v>
      </c>
      <c r="K65" s="1053" t="s">
        <v>453</v>
      </c>
      <c r="L65" s="1053" t="s">
        <v>482</v>
      </c>
      <c r="M65" s="1123" t="s">
        <v>33</v>
      </c>
      <c r="N65" s="1124">
        <v>3453520</v>
      </c>
      <c r="P65" s="526"/>
      <c r="Q65" s="538"/>
      <c r="R65" s="526"/>
    </row>
    <row r="66" spans="1:18" ht="24" customHeight="1">
      <c r="A66" s="768"/>
      <c r="B66" s="768"/>
      <c r="C66" s="771"/>
      <c r="D66" s="772"/>
      <c r="E66" s="768"/>
      <c r="F66" s="768"/>
      <c r="G66" s="772"/>
      <c r="H66" s="1597"/>
      <c r="I66" s="1060">
        <v>4071000</v>
      </c>
      <c r="J66" s="1061">
        <v>4</v>
      </c>
      <c r="K66" s="1060" t="s">
        <v>453</v>
      </c>
      <c r="L66" s="1060" t="s">
        <v>482</v>
      </c>
      <c r="M66" s="1125" t="s">
        <v>33</v>
      </c>
      <c r="N66" s="1126">
        <v>1753040</v>
      </c>
      <c r="P66" s="526"/>
      <c r="Q66" s="538"/>
      <c r="R66" s="526"/>
    </row>
    <row r="67" spans="1:18" ht="24" customHeight="1">
      <c r="A67" s="768"/>
      <c r="B67" s="768"/>
      <c r="C67" s="771"/>
      <c r="D67" s="772"/>
      <c r="E67" s="768"/>
      <c r="F67" s="768"/>
      <c r="G67" s="772"/>
      <c r="H67" s="1595" t="s">
        <v>530</v>
      </c>
      <c r="I67" s="1001">
        <v>4133000</v>
      </c>
      <c r="J67" s="1054">
        <v>11</v>
      </c>
      <c r="K67" s="1053" t="s">
        <v>453</v>
      </c>
      <c r="L67" s="1053" t="s">
        <v>482</v>
      </c>
      <c r="M67" s="1123" t="s">
        <v>33</v>
      </c>
      <c r="N67" s="1124">
        <v>4894340</v>
      </c>
      <c r="P67" s="526"/>
      <c r="Q67" s="443"/>
      <c r="R67" s="526"/>
    </row>
    <row r="68" spans="1:18" ht="24" customHeight="1">
      <c r="A68" s="768"/>
      <c r="B68" s="768"/>
      <c r="C68" s="771"/>
      <c r="D68" s="772"/>
      <c r="E68" s="768"/>
      <c r="F68" s="768"/>
      <c r="G68" s="772"/>
      <c r="H68" s="1597"/>
      <c r="I68" s="1056">
        <v>4190000</v>
      </c>
      <c r="J68" s="1061">
        <v>1</v>
      </c>
      <c r="K68" s="1060" t="s">
        <v>453</v>
      </c>
      <c r="L68" s="1060" t="s">
        <v>482</v>
      </c>
      <c r="M68" s="1125" t="s">
        <v>33</v>
      </c>
      <c r="N68" s="1126">
        <v>451070</v>
      </c>
      <c r="P68" s="526"/>
      <c r="Q68" s="538"/>
      <c r="R68" s="526"/>
    </row>
    <row r="69" spans="1:18" ht="24" customHeight="1">
      <c r="A69" s="768"/>
      <c r="B69" s="768"/>
      <c r="C69" s="771"/>
      <c r="D69" s="772"/>
      <c r="E69" s="768"/>
      <c r="F69" s="768"/>
      <c r="G69" s="772"/>
      <c r="H69" s="1065" t="s">
        <v>536</v>
      </c>
      <c r="I69" s="1066">
        <v>2941000</v>
      </c>
      <c r="J69" s="1061">
        <v>4</v>
      </c>
      <c r="K69" s="1000" t="s">
        <v>453</v>
      </c>
      <c r="L69" s="1053" t="s">
        <v>697</v>
      </c>
      <c r="M69" s="1002" t="s">
        <v>33</v>
      </c>
      <c r="N69" s="1003">
        <v>1266440</v>
      </c>
      <c r="P69" s="526"/>
      <c r="Q69" s="538"/>
      <c r="R69" s="526"/>
    </row>
    <row r="70" spans="1:18" ht="24" customHeight="1">
      <c r="A70" s="768"/>
      <c r="B70" s="768"/>
      <c r="C70" s="771"/>
      <c r="D70" s="772"/>
      <c r="E70" s="768"/>
      <c r="F70" s="768"/>
      <c r="G70" s="772"/>
      <c r="H70" s="1598" t="s">
        <v>535</v>
      </c>
      <c r="I70" s="1001">
        <v>2999000</v>
      </c>
      <c r="J70" s="1063">
        <v>4</v>
      </c>
      <c r="K70" s="1053" t="s">
        <v>453</v>
      </c>
      <c r="L70" s="1053" t="s">
        <v>482</v>
      </c>
      <c r="M70" s="1123" t="s">
        <v>33</v>
      </c>
      <c r="N70" s="1124">
        <v>1291400</v>
      </c>
      <c r="P70" s="353"/>
      <c r="Q70" s="547"/>
      <c r="R70" s="526"/>
    </row>
    <row r="71" spans="1:18" ht="24" customHeight="1">
      <c r="A71" s="768"/>
      <c r="B71" s="768"/>
      <c r="C71" s="771"/>
      <c r="D71" s="772"/>
      <c r="E71" s="768"/>
      <c r="F71" s="768"/>
      <c r="G71" s="772"/>
      <c r="H71" s="1596"/>
      <c r="I71" s="1056">
        <v>3073000</v>
      </c>
      <c r="J71" s="1057">
        <v>8</v>
      </c>
      <c r="K71" s="1060" t="s">
        <v>453</v>
      </c>
      <c r="L71" s="1060" t="s">
        <v>482</v>
      </c>
      <c r="M71" s="1125" t="s">
        <v>33</v>
      </c>
      <c r="N71" s="1126">
        <v>2646560</v>
      </c>
      <c r="P71" s="526"/>
      <c r="Q71" s="538"/>
      <c r="R71" s="526"/>
    </row>
    <row r="72" spans="1:18" ht="24" customHeight="1">
      <c r="A72" s="768"/>
      <c r="B72" s="768"/>
      <c r="C72" s="771"/>
      <c r="D72" s="772"/>
      <c r="E72" s="768"/>
      <c r="F72" s="768"/>
      <c r="G72" s="772"/>
      <c r="H72" s="1595" t="s">
        <v>535</v>
      </c>
      <c r="I72" s="1053">
        <v>2614000</v>
      </c>
      <c r="J72" s="1054">
        <v>11</v>
      </c>
      <c r="K72" s="1053" t="s">
        <v>453</v>
      </c>
      <c r="L72" s="1053" t="s">
        <v>482</v>
      </c>
      <c r="M72" s="1123" t="s">
        <v>33</v>
      </c>
      <c r="N72" s="1124">
        <v>3095510</v>
      </c>
      <c r="P72" s="526"/>
      <c r="Q72" s="538"/>
      <c r="R72" s="526"/>
    </row>
    <row r="73" spans="1:18" ht="24" customHeight="1">
      <c r="A73" s="768"/>
      <c r="B73" s="768"/>
      <c r="C73" s="771"/>
      <c r="D73" s="772"/>
      <c r="E73" s="768"/>
      <c r="F73" s="768"/>
      <c r="G73" s="772"/>
      <c r="H73" s="1597"/>
      <c r="I73" s="1060">
        <v>2693000</v>
      </c>
      <c r="J73" s="1061">
        <v>1</v>
      </c>
      <c r="K73" s="1060" t="s">
        <v>453</v>
      </c>
      <c r="L73" s="1060" t="s">
        <v>482</v>
      </c>
      <c r="M73" s="1125" t="s">
        <v>33</v>
      </c>
      <c r="N73" s="1126">
        <v>289910</v>
      </c>
      <c r="P73" s="526"/>
      <c r="Q73" s="538"/>
      <c r="R73" s="526"/>
    </row>
    <row r="74" spans="1:18" ht="24" customHeight="1">
      <c r="A74" s="768"/>
      <c r="B74" s="768"/>
      <c r="C74" s="771"/>
      <c r="D74" s="772"/>
      <c r="E74" s="768"/>
      <c r="F74" s="768"/>
      <c r="G74" s="772"/>
      <c r="H74" s="1595" t="s">
        <v>535</v>
      </c>
      <c r="I74" s="1053">
        <v>3073000</v>
      </c>
      <c r="J74" s="1054">
        <v>10</v>
      </c>
      <c r="K74" s="1053" t="s">
        <v>453</v>
      </c>
      <c r="L74" s="1053" t="s">
        <v>482</v>
      </c>
      <c r="M74" s="1123" t="s">
        <v>33</v>
      </c>
      <c r="N74" s="1124">
        <v>3308200</v>
      </c>
      <c r="P74" s="526"/>
      <c r="Q74" s="538"/>
      <c r="R74" s="526"/>
    </row>
    <row r="75" spans="1:18" ht="24" customHeight="1">
      <c r="A75" s="768"/>
      <c r="B75" s="768"/>
      <c r="C75" s="771"/>
      <c r="D75" s="772"/>
      <c r="E75" s="768"/>
      <c r="F75" s="768"/>
      <c r="G75" s="772"/>
      <c r="H75" s="1597"/>
      <c r="I75" s="1060">
        <v>3148000</v>
      </c>
      <c r="J75" s="1061">
        <v>2</v>
      </c>
      <c r="K75" s="1060" t="s">
        <v>453</v>
      </c>
      <c r="L75" s="1060" t="s">
        <v>482</v>
      </c>
      <c r="M75" s="1125" t="s">
        <v>33</v>
      </c>
      <c r="N75" s="1126">
        <v>677780</v>
      </c>
      <c r="P75" s="526"/>
      <c r="Q75" s="547"/>
      <c r="R75" s="526"/>
    </row>
    <row r="76" spans="1:18" ht="24" customHeight="1">
      <c r="A76" s="768"/>
      <c r="B76" s="768"/>
      <c r="C76" s="771"/>
      <c r="D76" s="772"/>
      <c r="E76" s="768"/>
      <c r="F76" s="768"/>
      <c r="G76" s="772"/>
      <c r="H76" s="997" t="s">
        <v>536</v>
      </c>
      <c r="I76" s="998">
        <v>2514000</v>
      </c>
      <c r="J76" s="999">
        <v>4</v>
      </c>
      <c r="K76" s="1000" t="s">
        <v>453</v>
      </c>
      <c r="L76" s="1001" t="s">
        <v>701</v>
      </c>
      <c r="M76" s="1002" t="s">
        <v>33</v>
      </c>
      <c r="N76" s="1003">
        <v>1623840</v>
      </c>
      <c r="P76" s="526"/>
      <c r="Q76" s="547"/>
      <c r="R76" s="526"/>
    </row>
    <row r="77" spans="1:18" ht="24" customHeight="1">
      <c r="A77" s="768"/>
      <c r="B77" s="768"/>
      <c r="C77" s="771"/>
      <c r="D77" s="772"/>
      <c r="E77" s="768"/>
      <c r="F77" s="768"/>
      <c r="G77" s="772"/>
      <c r="H77" s="1595" t="s">
        <v>537</v>
      </c>
      <c r="I77" s="1053">
        <v>1351774</v>
      </c>
      <c r="J77" s="1054">
        <v>1</v>
      </c>
      <c r="K77" s="1053" t="s">
        <v>453</v>
      </c>
      <c r="L77" s="1053" t="s">
        <v>482</v>
      </c>
      <c r="M77" s="1127" t="s">
        <v>33</v>
      </c>
      <c r="N77" s="1124">
        <v>159220</v>
      </c>
      <c r="P77" s="526"/>
      <c r="Q77" s="538"/>
      <c r="R77" s="526"/>
    </row>
    <row r="78" spans="1:18" ht="24" customHeight="1">
      <c r="A78" s="768"/>
      <c r="B78" s="768"/>
      <c r="C78" s="771"/>
      <c r="D78" s="772"/>
      <c r="E78" s="768"/>
      <c r="F78" s="768"/>
      <c r="G78" s="772"/>
      <c r="H78" s="1599"/>
      <c r="I78" s="1001">
        <v>2345000</v>
      </c>
      <c r="J78" s="1063">
        <v>3</v>
      </c>
      <c r="K78" s="1001" t="s">
        <v>453</v>
      </c>
      <c r="L78" s="1001" t="s">
        <v>482</v>
      </c>
      <c r="M78" s="1128" t="s">
        <v>33</v>
      </c>
      <c r="N78" s="1003">
        <v>796110</v>
      </c>
      <c r="P78" s="526"/>
      <c r="Q78" s="538"/>
      <c r="R78" s="526"/>
    </row>
    <row r="79" spans="1:18" ht="24" customHeight="1">
      <c r="A79" s="768"/>
      <c r="B79" s="768"/>
      <c r="C79" s="771"/>
      <c r="D79" s="772"/>
      <c r="E79" s="768"/>
      <c r="F79" s="768"/>
      <c r="G79" s="772"/>
      <c r="H79" s="1597"/>
      <c r="I79" s="1060">
        <v>2370000</v>
      </c>
      <c r="J79" s="1061">
        <v>8</v>
      </c>
      <c r="K79" s="1060" t="s">
        <v>453</v>
      </c>
      <c r="L79" s="1060" t="s">
        <v>482</v>
      </c>
      <c r="M79" s="1125" t="s">
        <v>33</v>
      </c>
      <c r="N79" s="1126">
        <v>2144480</v>
      </c>
    </row>
    <row r="80" spans="1:18" ht="24" customHeight="1">
      <c r="A80" s="768"/>
      <c r="B80" s="768"/>
      <c r="C80" s="771"/>
      <c r="D80" s="772"/>
      <c r="E80" s="768"/>
      <c r="F80" s="768"/>
      <c r="G80" s="772"/>
      <c r="H80" s="1075" t="s">
        <v>539</v>
      </c>
      <c r="I80" s="1000">
        <v>3198000</v>
      </c>
      <c r="J80" s="1076">
        <v>12</v>
      </c>
      <c r="K80" s="1101" t="s">
        <v>453</v>
      </c>
      <c r="L80" s="1053" t="s">
        <v>482</v>
      </c>
      <c r="M80" s="1129" t="s">
        <v>33</v>
      </c>
      <c r="N80" s="1130">
        <v>4131360</v>
      </c>
    </row>
    <row r="81" spans="1:14" ht="24" customHeight="1">
      <c r="A81" s="768"/>
      <c r="B81" s="768"/>
      <c r="C81" s="771"/>
      <c r="D81" s="772"/>
      <c r="E81" s="768"/>
      <c r="F81" s="768"/>
      <c r="G81" s="772"/>
      <c r="H81" s="1595" t="s">
        <v>541</v>
      </c>
      <c r="I81" s="1053">
        <v>2931000</v>
      </c>
      <c r="J81" s="1054">
        <v>5</v>
      </c>
      <c r="K81" s="1053" t="s">
        <v>453</v>
      </c>
      <c r="L81" s="1053" t="s">
        <v>482</v>
      </c>
      <c r="M81" s="1123" t="s">
        <v>33</v>
      </c>
      <c r="N81" s="1124">
        <v>1577650</v>
      </c>
    </row>
    <row r="82" spans="1:14" ht="24" customHeight="1">
      <c r="A82" s="768"/>
      <c r="B82" s="768"/>
      <c r="C82" s="771"/>
      <c r="D82" s="772"/>
      <c r="E82" s="768"/>
      <c r="F82" s="768"/>
      <c r="G82" s="772"/>
      <c r="H82" s="1597"/>
      <c r="I82" s="1060">
        <v>2984000</v>
      </c>
      <c r="J82" s="1061">
        <v>7</v>
      </c>
      <c r="K82" s="1060" t="s">
        <v>453</v>
      </c>
      <c r="L82" s="1060" t="s">
        <v>482</v>
      </c>
      <c r="M82" s="1125" t="s">
        <v>33</v>
      </c>
      <c r="N82" s="1126">
        <v>2248680</v>
      </c>
    </row>
    <row r="83" spans="1:14" ht="24" customHeight="1">
      <c r="A83" s="768"/>
      <c r="B83" s="768"/>
      <c r="C83" s="771"/>
      <c r="D83" s="772"/>
      <c r="E83" s="768"/>
      <c r="F83" s="768"/>
      <c r="G83" s="772"/>
      <c r="H83" s="1598" t="s">
        <v>542</v>
      </c>
      <c r="I83" s="1001">
        <v>2466000</v>
      </c>
      <c r="J83" s="1063">
        <v>8</v>
      </c>
      <c r="K83" s="1053" t="s">
        <v>453</v>
      </c>
      <c r="L83" s="1053" t="s">
        <v>482</v>
      </c>
      <c r="M83" s="1123" t="s">
        <v>33</v>
      </c>
      <c r="N83" s="1124">
        <v>2123760</v>
      </c>
    </row>
    <row r="84" spans="1:14" ht="24" customHeight="1">
      <c r="A84" s="768"/>
      <c r="B84" s="768"/>
      <c r="C84" s="771"/>
      <c r="D84" s="772"/>
      <c r="E84" s="768"/>
      <c r="F84" s="768"/>
      <c r="G84" s="772"/>
      <c r="H84" s="1596"/>
      <c r="I84" s="1056">
        <v>2491000</v>
      </c>
      <c r="J84" s="1057">
        <v>4</v>
      </c>
      <c r="K84" s="1001" t="s">
        <v>453</v>
      </c>
      <c r="L84" s="1001" t="s">
        <v>482</v>
      </c>
      <c r="M84" s="1128" t="s">
        <v>33</v>
      </c>
      <c r="N84" s="1131">
        <v>1072640</v>
      </c>
    </row>
    <row r="85" spans="1:14" ht="24" customHeight="1">
      <c r="A85" s="768"/>
      <c r="B85" s="768"/>
      <c r="C85" s="771"/>
      <c r="D85" s="772"/>
      <c r="E85" s="768"/>
      <c r="F85" s="768"/>
      <c r="G85" s="772"/>
      <c r="H85" s="1078" t="s">
        <v>542</v>
      </c>
      <c r="I85" s="1066">
        <v>2466000</v>
      </c>
      <c r="J85" s="1067">
        <v>12</v>
      </c>
      <c r="K85" s="1066" t="s">
        <v>453</v>
      </c>
      <c r="L85" s="1053" t="s">
        <v>482</v>
      </c>
      <c r="M85" s="1129" t="s">
        <v>33</v>
      </c>
      <c r="N85" s="1130">
        <v>3185640</v>
      </c>
    </row>
    <row r="86" spans="1:14" ht="24" customHeight="1" thickBot="1">
      <c r="A86" s="768"/>
      <c r="B86" s="768"/>
      <c r="C86" s="771"/>
      <c r="D86" s="772"/>
      <c r="E86" s="768"/>
      <c r="F86" s="768"/>
      <c r="G86" s="772"/>
      <c r="H86" s="1079" t="s">
        <v>544</v>
      </c>
      <c r="I86" s="1080">
        <v>2540000</v>
      </c>
      <c r="J86" s="1081">
        <v>12</v>
      </c>
      <c r="K86" s="1080" t="s">
        <v>453</v>
      </c>
      <c r="L86" s="1053" t="s">
        <v>482</v>
      </c>
      <c r="M86" s="1132" t="s">
        <v>33</v>
      </c>
      <c r="N86" s="1133">
        <v>3281280</v>
      </c>
    </row>
    <row r="87" spans="1:14" ht="15" thickBot="1">
      <c r="A87" s="768"/>
      <c r="B87" s="768"/>
      <c r="C87" s="771"/>
      <c r="D87" s="766">
        <v>10220000</v>
      </c>
      <c r="E87" s="570">
        <v>8880000</v>
      </c>
      <c r="F87" s="578">
        <f>N87</f>
        <v>6700000</v>
      </c>
      <c r="G87" s="773">
        <f>F87-E87</f>
        <v>-2180000</v>
      </c>
      <c r="H87" s="1045" t="s">
        <v>5</v>
      </c>
      <c r="I87" s="1046"/>
      <c r="J87" s="1047"/>
      <c r="K87" s="1047"/>
      <c r="L87" s="1048"/>
      <c r="M87" s="1049"/>
      <c r="N87" s="1050">
        <f>SUM(N89:N106)</f>
        <v>6700000</v>
      </c>
    </row>
    <row r="88" spans="1:14" ht="15" thickBot="1">
      <c r="A88" s="768"/>
      <c r="B88" s="768"/>
      <c r="C88" s="771"/>
      <c r="D88" s="772"/>
      <c r="E88" s="768"/>
      <c r="F88" s="768"/>
      <c r="G88" s="773"/>
      <c r="H88" s="1045" t="s">
        <v>375</v>
      </c>
      <c r="I88" s="1048" t="s">
        <v>376</v>
      </c>
      <c r="J88" s="1047"/>
      <c r="K88" s="1047"/>
      <c r="L88" s="1048" t="s">
        <v>494</v>
      </c>
      <c r="M88" s="1049"/>
      <c r="N88" s="1032" t="s">
        <v>37</v>
      </c>
    </row>
    <row r="89" spans="1:14" ht="24" customHeight="1">
      <c r="A89" s="768"/>
      <c r="B89" s="768"/>
      <c r="C89" s="771"/>
      <c r="D89" s="772"/>
      <c r="E89" s="768"/>
      <c r="F89" s="768"/>
      <c r="G89" s="768"/>
      <c r="H89" s="1599" t="s">
        <v>533</v>
      </c>
      <c r="I89" s="1001">
        <v>40000</v>
      </c>
      <c r="J89" s="1063">
        <v>12</v>
      </c>
      <c r="K89" s="1001" t="s">
        <v>453</v>
      </c>
      <c r="L89" s="1001" t="s">
        <v>483</v>
      </c>
      <c r="M89" s="1607" t="s">
        <v>33</v>
      </c>
      <c r="N89" s="1138">
        <f t="shared" ref="N89:N106" si="3">I89*J89</f>
        <v>480000</v>
      </c>
    </row>
    <row r="90" spans="1:14" ht="24" customHeight="1">
      <c r="A90" s="768"/>
      <c r="B90" s="768"/>
      <c r="C90" s="771"/>
      <c r="D90" s="772"/>
      <c r="E90" s="768"/>
      <c r="F90" s="768"/>
      <c r="G90" s="768"/>
      <c r="H90" s="1571"/>
      <c r="I90" s="998">
        <v>20000</v>
      </c>
      <c r="J90" s="999">
        <v>12</v>
      </c>
      <c r="K90" s="998" t="s">
        <v>453</v>
      </c>
      <c r="L90" s="998" t="s">
        <v>485</v>
      </c>
      <c r="M90" s="1573"/>
      <c r="N90" s="1140">
        <f t="shared" si="3"/>
        <v>240000</v>
      </c>
    </row>
    <row r="91" spans="1:14" ht="24" customHeight="1">
      <c r="A91" s="768"/>
      <c r="B91" s="768"/>
      <c r="C91" s="771"/>
      <c r="D91" s="772"/>
      <c r="E91" s="768"/>
      <c r="F91" s="768"/>
      <c r="G91" s="768"/>
      <c r="H91" s="1570" t="s">
        <v>529</v>
      </c>
      <c r="I91" s="1053">
        <v>40000</v>
      </c>
      <c r="J91" s="1054">
        <v>12</v>
      </c>
      <c r="K91" s="1053" t="s">
        <v>453</v>
      </c>
      <c r="L91" s="1053" t="s">
        <v>483</v>
      </c>
      <c r="M91" s="1572" t="s">
        <v>33</v>
      </c>
      <c r="N91" s="1138">
        <f t="shared" si="3"/>
        <v>480000</v>
      </c>
    </row>
    <row r="92" spans="1:14" ht="24.6" customHeight="1">
      <c r="A92" s="768"/>
      <c r="B92" s="768"/>
      <c r="C92" s="771"/>
      <c r="D92" s="772"/>
      <c r="E92" s="768"/>
      <c r="F92" s="768"/>
      <c r="G92" s="768"/>
      <c r="H92" s="1571"/>
      <c r="I92" s="998">
        <v>30000</v>
      </c>
      <c r="J92" s="999">
        <v>12</v>
      </c>
      <c r="K92" s="998" t="s">
        <v>453</v>
      </c>
      <c r="L92" s="998" t="s">
        <v>581</v>
      </c>
      <c r="M92" s="1573"/>
      <c r="N92" s="1140">
        <f t="shared" si="3"/>
        <v>360000</v>
      </c>
    </row>
    <row r="93" spans="1:14" ht="24.6" customHeight="1">
      <c r="A93" s="768"/>
      <c r="B93" s="768"/>
      <c r="C93" s="771"/>
      <c r="D93" s="772"/>
      <c r="E93" s="768"/>
      <c r="F93" s="768"/>
      <c r="G93" s="768"/>
      <c r="H93" s="1608" t="s">
        <v>529</v>
      </c>
      <c r="I93" s="1053">
        <v>40000</v>
      </c>
      <c r="J93" s="1054">
        <v>12</v>
      </c>
      <c r="K93" s="1053" t="s">
        <v>453</v>
      </c>
      <c r="L93" s="1053" t="s">
        <v>483</v>
      </c>
      <c r="M93" s="1572" t="s">
        <v>33</v>
      </c>
      <c r="N93" s="1138">
        <f t="shared" si="3"/>
        <v>480000</v>
      </c>
    </row>
    <row r="94" spans="1:14" ht="24.6" customHeight="1">
      <c r="A94" s="768"/>
      <c r="B94" s="768"/>
      <c r="C94" s="771"/>
      <c r="D94" s="772"/>
      <c r="E94" s="768"/>
      <c r="F94" s="768"/>
      <c r="G94" s="768"/>
      <c r="H94" s="1609"/>
      <c r="I94" s="1000">
        <v>30000</v>
      </c>
      <c r="J94" s="1072">
        <v>12</v>
      </c>
      <c r="K94" s="1000" t="s">
        <v>453</v>
      </c>
      <c r="L94" s="1000" t="s">
        <v>581</v>
      </c>
      <c r="M94" s="1607"/>
      <c r="N94" s="1140">
        <f t="shared" si="3"/>
        <v>360000</v>
      </c>
    </row>
    <row r="95" spans="1:14" ht="24.6" customHeight="1">
      <c r="A95" s="768"/>
      <c r="B95" s="768"/>
      <c r="C95" s="771"/>
      <c r="D95" s="772"/>
      <c r="E95" s="768"/>
      <c r="F95" s="768"/>
      <c r="G95" s="768"/>
      <c r="H95" s="1570" t="s">
        <v>535</v>
      </c>
      <c r="I95" s="1107">
        <v>40000</v>
      </c>
      <c r="J95" s="1106">
        <v>4</v>
      </c>
      <c r="K95" s="1107" t="s">
        <v>453</v>
      </c>
      <c r="L95" s="1107" t="s">
        <v>483</v>
      </c>
      <c r="M95" s="1572" t="s">
        <v>33</v>
      </c>
      <c r="N95" s="1138">
        <f t="shared" si="3"/>
        <v>160000</v>
      </c>
    </row>
    <row r="96" spans="1:14" ht="24" customHeight="1">
      <c r="A96" s="768"/>
      <c r="B96" s="768"/>
      <c r="C96" s="771"/>
      <c r="D96" s="772"/>
      <c r="E96" s="768"/>
      <c r="F96" s="768"/>
      <c r="G96" s="768"/>
      <c r="H96" s="1599"/>
      <c r="I96" s="1056">
        <v>40000</v>
      </c>
      <c r="J96" s="1057">
        <v>4</v>
      </c>
      <c r="K96" s="1056" t="s">
        <v>453</v>
      </c>
      <c r="L96" s="1056" t="s">
        <v>484</v>
      </c>
      <c r="M96" s="1607"/>
      <c r="N96" s="1143">
        <f t="shared" si="3"/>
        <v>160000</v>
      </c>
    </row>
    <row r="97" spans="1:14" ht="24" customHeight="1">
      <c r="A97" s="768"/>
      <c r="B97" s="768"/>
      <c r="C97" s="771"/>
      <c r="D97" s="772"/>
      <c r="E97" s="768"/>
      <c r="F97" s="768"/>
      <c r="G97" s="768"/>
      <c r="H97" s="1571"/>
      <c r="I97" s="1060">
        <v>210000</v>
      </c>
      <c r="J97" s="1061">
        <v>4</v>
      </c>
      <c r="K97" s="1060" t="s">
        <v>453</v>
      </c>
      <c r="L97" s="1060" t="s">
        <v>486</v>
      </c>
      <c r="M97" s="1573"/>
      <c r="N97" s="1140">
        <f t="shared" si="3"/>
        <v>840000</v>
      </c>
    </row>
    <row r="98" spans="1:14" ht="24" customHeight="1">
      <c r="A98" s="768"/>
      <c r="B98" s="768"/>
      <c r="C98" s="771"/>
      <c r="D98" s="772"/>
      <c r="E98" s="768"/>
      <c r="F98" s="768"/>
      <c r="G98" s="768"/>
      <c r="H98" s="1570" t="s">
        <v>536</v>
      </c>
      <c r="I98" s="1107">
        <v>40000</v>
      </c>
      <c r="J98" s="1106">
        <v>12</v>
      </c>
      <c r="K98" s="1107" t="s">
        <v>453</v>
      </c>
      <c r="L98" s="1107" t="s">
        <v>483</v>
      </c>
      <c r="M98" s="1572" t="s">
        <v>33</v>
      </c>
      <c r="N98" s="1138">
        <f t="shared" si="3"/>
        <v>480000</v>
      </c>
    </row>
    <row r="99" spans="1:14" ht="24.6" customHeight="1">
      <c r="A99" s="768"/>
      <c r="B99" s="768"/>
      <c r="C99" s="771"/>
      <c r="D99" s="772"/>
      <c r="E99" s="768"/>
      <c r="F99" s="768"/>
      <c r="G99" s="768"/>
      <c r="H99" s="1599"/>
      <c r="I99" s="1056">
        <v>30000</v>
      </c>
      <c r="J99" s="1057">
        <v>12</v>
      </c>
      <c r="K99" s="1056" t="s">
        <v>453</v>
      </c>
      <c r="L99" s="1056" t="s">
        <v>581</v>
      </c>
      <c r="M99" s="1607"/>
      <c r="N99" s="1138">
        <f t="shared" si="3"/>
        <v>360000</v>
      </c>
    </row>
    <row r="100" spans="1:14" ht="24.6" customHeight="1">
      <c r="A100" s="768"/>
      <c r="B100" s="768"/>
      <c r="C100" s="771"/>
      <c r="D100" s="772"/>
      <c r="E100" s="768"/>
      <c r="F100" s="768"/>
      <c r="G100" s="768"/>
      <c r="H100" s="1571"/>
      <c r="I100" s="1060">
        <v>20000</v>
      </c>
      <c r="J100" s="1061">
        <v>7</v>
      </c>
      <c r="K100" s="1060" t="s">
        <v>453</v>
      </c>
      <c r="L100" s="1060" t="s">
        <v>485</v>
      </c>
      <c r="M100" s="1573"/>
      <c r="N100" s="1140">
        <f t="shared" si="3"/>
        <v>140000</v>
      </c>
    </row>
    <row r="101" spans="1:14" ht="24.6" customHeight="1">
      <c r="A101" s="768"/>
      <c r="B101" s="768"/>
      <c r="C101" s="771"/>
      <c r="D101" s="772"/>
      <c r="E101" s="768"/>
      <c r="F101" s="768"/>
      <c r="G101" s="768"/>
      <c r="H101" s="1077" t="s">
        <v>536</v>
      </c>
      <c r="I101" s="1066">
        <v>40000</v>
      </c>
      <c r="J101" s="1067">
        <v>6</v>
      </c>
      <c r="K101" s="1066" t="s">
        <v>453</v>
      </c>
      <c r="L101" s="1107" t="s">
        <v>483</v>
      </c>
      <c r="M101" s="1141" t="s">
        <v>33</v>
      </c>
      <c r="N101" s="1144">
        <f>I101*J101</f>
        <v>240000</v>
      </c>
    </row>
    <row r="102" spans="1:14" ht="24.6" customHeight="1">
      <c r="A102" s="768"/>
      <c r="B102" s="768"/>
      <c r="C102" s="771"/>
      <c r="D102" s="772"/>
      <c r="E102" s="768"/>
      <c r="F102" s="768"/>
      <c r="G102" s="768"/>
      <c r="H102" s="1077" t="s">
        <v>537</v>
      </c>
      <c r="I102" s="1066">
        <v>20000</v>
      </c>
      <c r="J102" s="1067">
        <v>12</v>
      </c>
      <c r="K102" s="1066" t="s">
        <v>453</v>
      </c>
      <c r="L102" s="1066" t="s">
        <v>651</v>
      </c>
      <c r="M102" s="1141" t="s">
        <v>33</v>
      </c>
      <c r="N102" s="1144">
        <f t="shared" si="3"/>
        <v>240000</v>
      </c>
    </row>
    <row r="103" spans="1:14" ht="24.6" customHeight="1">
      <c r="A103" s="768"/>
      <c r="B103" s="768"/>
      <c r="C103" s="771"/>
      <c r="D103" s="772"/>
      <c r="E103" s="768"/>
      <c r="F103" s="768"/>
      <c r="G103" s="768"/>
      <c r="H103" s="1570" t="s">
        <v>540</v>
      </c>
      <c r="I103" s="1000">
        <v>40000</v>
      </c>
      <c r="J103" s="1072">
        <v>12</v>
      </c>
      <c r="K103" s="1000" t="s">
        <v>453</v>
      </c>
      <c r="L103" s="1000" t="s">
        <v>483</v>
      </c>
      <c r="M103" s="1572" t="s">
        <v>33</v>
      </c>
      <c r="N103" s="1138">
        <f t="shared" si="3"/>
        <v>480000</v>
      </c>
    </row>
    <row r="104" spans="1:14" ht="24.6" customHeight="1">
      <c r="A104" s="768"/>
      <c r="B104" s="768"/>
      <c r="C104" s="771"/>
      <c r="D104" s="772"/>
      <c r="E104" s="768"/>
      <c r="F104" s="768"/>
      <c r="G104" s="768"/>
      <c r="H104" s="1571"/>
      <c r="I104" s="1000">
        <v>20000</v>
      </c>
      <c r="J104" s="1072">
        <v>12</v>
      </c>
      <c r="K104" s="1000" t="s">
        <v>453</v>
      </c>
      <c r="L104" s="1000" t="s">
        <v>582</v>
      </c>
      <c r="M104" s="1607"/>
      <c r="N104" s="1140">
        <f t="shared" si="3"/>
        <v>240000</v>
      </c>
    </row>
    <row r="105" spans="1:14" ht="24.6" customHeight="1">
      <c r="A105" s="768"/>
      <c r="B105" s="768"/>
      <c r="C105" s="771"/>
      <c r="D105" s="772"/>
      <c r="E105" s="768"/>
      <c r="F105" s="768"/>
      <c r="G105" s="768"/>
      <c r="H105" s="1078" t="s">
        <v>538</v>
      </c>
      <c r="I105" s="1066">
        <v>20000</v>
      </c>
      <c r="J105" s="1067">
        <v>12</v>
      </c>
      <c r="K105" s="1066" t="s">
        <v>453</v>
      </c>
      <c r="L105" s="1066" t="s">
        <v>485</v>
      </c>
      <c r="M105" s="1145" t="s">
        <v>33</v>
      </c>
      <c r="N105" s="1140">
        <f t="shared" si="3"/>
        <v>240000</v>
      </c>
    </row>
    <row r="106" spans="1:14" ht="24.6" customHeight="1" thickBot="1">
      <c r="A106" s="768"/>
      <c r="B106" s="768"/>
      <c r="C106" s="771"/>
      <c r="D106" s="772"/>
      <c r="E106" s="768"/>
      <c r="F106" s="768"/>
      <c r="G106" s="774"/>
      <c r="H106" s="1079" t="s">
        <v>544</v>
      </c>
      <c r="I106" s="1080">
        <v>60000</v>
      </c>
      <c r="J106" s="1081">
        <v>12</v>
      </c>
      <c r="K106" s="1001" t="s">
        <v>453</v>
      </c>
      <c r="L106" s="1080" t="s">
        <v>493</v>
      </c>
      <c r="M106" s="1146" t="s">
        <v>33</v>
      </c>
      <c r="N106" s="1140">
        <f t="shared" si="3"/>
        <v>720000</v>
      </c>
    </row>
    <row r="107" spans="1:14" ht="13.5" customHeight="1" thickBot="1">
      <c r="A107" s="768"/>
      <c r="B107" s="768"/>
      <c r="C107" s="771"/>
      <c r="D107" s="766">
        <v>54709200</v>
      </c>
      <c r="E107" s="570">
        <v>57078600</v>
      </c>
      <c r="F107" s="719">
        <f>N107</f>
        <v>56822400</v>
      </c>
      <c r="G107" s="570">
        <f>F107-E107</f>
        <v>-256200</v>
      </c>
      <c r="H107" s="1045" t="s">
        <v>7</v>
      </c>
      <c r="I107" s="1046"/>
      <c r="J107" s="1047"/>
      <c r="K107" s="1047"/>
      <c r="L107" s="1048"/>
      <c r="M107" s="1049"/>
      <c r="N107" s="1094">
        <f>SUM(N109:N131)</f>
        <v>56822400</v>
      </c>
    </row>
    <row r="108" spans="1:14" ht="13.5" customHeight="1" thickBot="1">
      <c r="A108" s="768"/>
      <c r="B108" s="768"/>
      <c r="C108" s="772"/>
      <c r="D108" s="773"/>
      <c r="E108" s="768"/>
      <c r="F108" s="768"/>
      <c r="G108" s="772"/>
      <c r="H108" s="1045" t="s">
        <v>375</v>
      </c>
      <c r="I108" s="1048" t="s">
        <v>376</v>
      </c>
      <c r="J108" s="1047"/>
      <c r="K108" s="1047"/>
      <c r="L108" s="1048" t="s">
        <v>494</v>
      </c>
      <c r="M108" s="1049"/>
      <c r="N108" s="1050" t="s">
        <v>37</v>
      </c>
    </row>
    <row r="109" spans="1:14" ht="24.95" customHeight="1">
      <c r="A109" s="768"/>
      <c r="B109" s="768"/>
      <c r="C109" s="772"/>
      <c r="D109" s="768"/>
      <c r="E109" s="768"/>
      <c r="F109" s="768"/>
      <c r="G109" s="772"/>
      <c r="H109" s="1225" t="s">
        <v>533</v>
      </c>
      <c r="I109" s="1000">
        <v>5374000</v>
      </c>
      <c r="J109" s="1000">
        <v>1</v>
      </c>
      <c r="K109" s="1000" t="s">
        <v>455</v>
      </c>
      <c r="L109" s="1000" t="s">
        <v>489</v>
      </c>
      <c r="M109" s="1142" t="s">
        <v>33</v>
      </c>
      <c r="N109" s="1151">
        <f>I109*1.2</f>
        <v>6448800</v>
      </c>
    </row>
    <row r="110" spans="1:14" ht="24.95" customHeight="1">
      <c r="A110" s="768"/>
      <c r="B110" s="768"/>
      <c r="C110" s="772"/>
      <c r="D110" s="768"/>
      <c r="E110" s="768"/>
      <c r="F110" s="768"/>
      <c r="G110" s="772"/>
      <c r="H110" s="1570" t="s">
        <v>531</v>
      </c>
      <c r="I110" s="1053">
        <v>3499000</v>
      </c>
      <c r="J110" s="1053">
        <v>1</v>
      </c>
      <c r="K110" s="1053" t="s">
        <v>455</v>
      </c>
      <c r="L110" s="1053" t="s">
        <v>487</v>
      </c>
      <c r="M110" s="1572" t="s">
        <v>33</v>
      </c>
      <c r="N110" s="1150">
        <f>I110*0.6</f>
        <v>2099400</v>
      </c>
    </row>
    <row r="111" spans="1:14" ht="24.95" customHeight="1">
      <c r="A111" s="768"/>
      <c r="B111" s="768"/>
      <c r="C111" s="772"/>
      <c r="D111" s="768"/>
      <c r="E111" s="768"/>
      <c r="F111" s="768"/>
      <c r="G111" s="772"/>
      <c r="H111" s="1571"/>
      <c r="I111" s="1060">
        <v>3550000</v>
      </c>
      <c r="J111" s="1060">
        <v>1</v>
      </c>
      <c r="K111" s="1060" t="s">
        <v>455</v>
      </c>
      <c r="L111" s="1060" t="s">
        <v>487</v>
      </c>
      <c r="M111" s="1573"/>
      <c r="N111" s="1126">
        <f>I111*0.6</f>
        <v>2130000</v>
      </c>
    </row>
    <row r="112" spans="1:14" ht="24.95" customHeight="1">
      <c r="A112" s="768"/>
      <c r="B112" s="768"/>
      <c r="C112" s="772"/>
      <c r="D112" s="768"/>
      <c r="E112" s="768"/>
      <c r="F112" s="768"/>
      <c r="G112" s="772"/>
      <c r="H112" s="1570" t="s">
        <v>529</v>
      </c>
      <c r="I112" s="1001">
        <v>4126000</v>
      </c>
      <c r="J112" s="1001">
        <v>1</v>
      </c>
      <c r="K112" s="1001" t="s">
        <v>455</v>
      </c>
      <c r="L112" s="1001" t="s">
        <v>487</v>
      </c>
      <c r="M112" s="1572" t="s">
        <v>33</v>
      </c>
      <c r="N112" s="1003">
        <f t="shared" ref="N112:N115" si="4">I112*0.6</f>
        <v>2475600</v>
      </c>
    </row>
    <row r="113" spans="1:14" ht="24.95" customHeight="1">
      <c r="A113" s="768"/>
      <c r="B113" s="768"/>
      <c r="C113" s="772"/>
      <c r="D113" s="768"/>
      <c r="E113" s="768"/>
      <c r="F113" s="768"/>
      <c r="G113" s="772"/>
      <c r="H113" s="1571"/>
      <c r="I113" s="1056">
        <v>4178000</v>
      </c>
      <c r="J113" s="1056">
        <v>1</v>
      </c>
      <c r="K113" s="1056" t="s">
        <v>455</v>
      </c>
      <c r="L113" s="1056" t="s">
        <v>487</v>
      </c>
      <c r="M113" s="1573"/>
      <c r="N113" s="1122">
        <f>I113*0.6</f>
        <v>2506800</v>
      </c>
    </row>
    <row r="114" spans="1:14" ht="24.95" customHeight="1">
      <c r="A114" s="768"/>
      <c r="B114" s="768"/>
      <c r="C114" s="772"/>
      <c r="D114" s="768"/>
      <c r="E114" s="768"/>
      <c r="F114" s="768"/>
      <c r="G114" s="772"/>
      <c r="H114" s="1570" t="s">
        <v>529</v>
      </c>
      <c r="I114" s="1053">
        <v>3890000</v>
      </c>
      <c r="J114" s="1053">
        <v>1</v>
      </c>
      <c r="K114" s="1053" t="s">
        <v>455</v>
      </c>
      <c r="L114" s="1053" t="s">
        <v>487</v>
      </c>
      <c r="M114" s="1572" t="s">
        <v>33</v>
      </c>
      <c r="N114" s="1150">
        <f t="shared" si="4"/>
        <v>2334000</v>
      </c>
    </row>
    <row r="115" spans="1:14" ht="24.95" customHeight="1">
      <c r="A115" s="768"/>
      <c r="B115" s="768"/>
      <c r="C115" s="772"/>
      <c r="D115" s="768"/>
      <c r="E115" s="768"/>
      <c r="F115" s="768"/>
      <c r="G115" s="772"/>
      <c r="H115" s="1571"/>
      <c r="I115" s="1060">
        <v>3951000</v>
      </c>
      <c r="J115" s="1060">
        <v>1</v>
      </c>
      <c r="K115" s="1060" t="s">
        <v>455</v>
      </c>
      <c r="L115" s="1060" t="s">
        <v>487</v>
      </c>
      <c r="M115" s="1573"/>
      <c r="N115" s="1126">
        <f t="shared" si="4"/>
        <v>2370600</v>
      </c>
    </row>
    <row r="116" spans="1:14" ht="24.95" customHeight="1">
      <c r="A116" s="768"/>
      <c r="B116" s="768"/>
      <c r="C116" s="772"/>
      <c r="D116" s="768"/>
      <c r="E116" s="768"/>
      <c r="F116" s="768"/>
      <c r="G116" s="772"/>
      <c r="H116" s="1065" t="s">
        <v>529</v>
      </c>
      <c r="I116" s="1066">
        <v>4013000</v>
      </c>
      <c r="J116" s="1066">
        <v>1</v>
      </c>
      <c r="K116" s="1066" t="s">
        <v>455</v>
      </c>
      <c r="L116" s="1066" t="s">
        <v>488</v>
      </c>
      <c r="M116" s="1145" t="s">
        <v>33</v>
      </c>
      <c r="N116" s="1130">
        <f>I116*1.2</f>
        <v>4815600</v>
      </c>
    </row>
    <row r="117" spans="1:14" ht="24.95" customHeight="1">
      <c r="A117" s="768"/>
      <c r="B117" s="768"/>
      <c r="C117" s="772"/>
      <c r="D117" s="768"/>
      <c r="E117" s="768"/>
      <c r="F117" s="768"/>
      <c r="G117" s="772"/>
      <c r="H117" s="1071" t="s">
        <v>535</v>
      </c>
      <c r="I117" s="1000">
        <v>2821000</v>
      </c>
      <c r="J117" s="1000">
        <v>1</v>
      </c>
      <c r="K117" s="1000" t="s">
        <v>455</v>
      </c>
      <c r="L117" s="1000" t="s">
        <v>699</v>
      </c>
      <c r="M117" s="1142" t="s">
        <v>33</v>
      </c>
      <c r="N117" s="1151">
        <f>I117*0.6</f>
        <v>1692600</v>
      </c>
    </row>
    <row r="118" spans="1:14" ht="24.95" customHeight="1">
      <c r="A118" s="768"/>
      <c r="B118" s="768"/>
      <c r="C118" s="772"/>
      <c r="D118" s="768"/>
      <c r="E118" s="768"/>
      <c r="F118" s="768"/>
      <c r="G118" s="772"/>
      <c r="H118" s="1570" t="s">
        <v>535</v>
      </c>
      <c r="I118" s="1053">
        <v>2879000</v>
      </c>
      <c r="J118" s="1053">
        <v>1</v>
      </c>
      <c r="K118" s="1053" t="s">
        <v>455</v>
      </c>
      <c r="L118" s="1152" t="s">
        <v>487</v>
      </c>
      <c r="M118" s="1572" t="s">
        <v>33</v>
      </c>
      <c r="N118" s="1003">
        <f t="shared" ref="N118:N119" si="5">I118*0.6</f>
        <v>1727400</v>
      </c>
    </row>
    <row r="119" spans="1:14" ht="24.95" customHeight="1">
      <c r="A119" s="768"/>
      <c r="B119" s="768"/>
      <c r="C119" s="772"/>
      <c r="D119" s="768"/>
      <c r="E119" s="768"/>
      <c r="F119" s="768"/>
      <c r="G119" s="772"/>
      <c r="H119" s="1571"/>
      <c r="I119" s="1060">
        <v>2953000</v>
      </c>
      <c r="J119" s="1060">
        <v>1</v>
      </c>
      <c r="K119" s="1060" t="s">
        <v>455</v>
      </c>
      <c r="L119" s="1153" t="s">
        <v>487</v>
      </c>
      <c r="M119" s="1573"/>
      <c r="N119" s="1122">
        <f t="shared" si="5"/>
        <v>1771800</v>
      </c>
    </row>
    <row r="120" spans="1:14" ht="24.95" customHeight="1">
      <c r="A120" s="768"/>
      <c r="B120" s="768"/>
      <c r="C120" s="772"/>
      <c r="D120" s="768"/>
      <c r="E120" s="768"/>
      <c r="F120" s="768"/>
      <c r="G120" s="772"/>
      <c r="H120" s="1071" t="s">
        <v>535</v>
      </c>
      <c r="I120" s="1000">
        <v>2953000</v>
      </c>
      <c r="J120" s="1000">
        <v>1</v>
      </c>
      <c r="K120" s="1000" t="s">
        <v>455</v>
      </c>
      <c r="L120" s="1000" t="s">
        <v>488</v>
      </c>
      <c r="M120" s="1142" t="s">
        <v>33</v>
      </c>
      <c r="N120" s="1130">
        <f>I120*1.2</f>
        <v>3543600</v>
      </c>
    </row>
    <row r="121" spans="1:14" ht="24.95" customHeight="1">
      <c r="A121" s="768"/>
      <c r="B121" s="768"/>
      <c r="C121" s="772"/>
      <c r="D121" s="768"/>
      <c r="E121" s="768"/>
      <c r="F121" s="768"/>
      <c r="G121" s="772"/>
      <c r="H121" s="1065" t="s">
        <v>535</v>
      </c>
      <c r="I121" s="1066">
        <v>2494000</v>
      </c>
      <c r="J121" s="1066">
        <v>1</v>
      </c>
      <c r="K121" s="1066" t="s">
        <v>455</v>
      </c>
      <c r="L121" s="1066" t="s">
        <v>488</v>
      </c>
      <c r="M121" s="1145" t="s">
        <v>33</v>
      </c>
      <c r="N121" s="1130">
        <f>I121*1.2</f>
        <v>2992800</v>
      </c>
    </row>
    <row r="122" spans="1:14" ht="24.95" customHeight="1">
      <c r="A122" s="768"/>
      <c r="B122" s="768"/>
      <c r="C122" s="772"/>
      <c r="D122" s="768"/>
      <c r="E122" s="768"/>
      <c r="F122" s="768"/>
      <c r="G122" s="772"/>
      <c r="H122" s="1065" t="s">
        <v>535</v>
      </c>
      <c r="I122" s="1066">
        <v>2394000</v>
      </c>
      <c r="J122" s="1066">
        <v>1</v>
      </c>
      <c r="K122" s="1066" t="s">
        <v>455</v>
      </c>
      <c r="L122" s="1066" t="s">
        <v>743</v>
      </c>
      <c r="M122" s="1145" t="s">
        <v>33</v>
      </c>
      <c r="N122" s="1130">
        <f>I122*0.6</f>
        <v>1436400</v>
      </c>
    </row>
    <row r="123" spans="1:14" ht="24.95" customHeight="1">
      <c r="A123" s="768"/>
      <c r="B123" s="768"/>
      <c r="C123" s="772"/>
      <c r="D123" s="768"/>
      <c r="E123" s="768"/>
      <c r="F123" s="768"/>
      <c r="G123" s="772"/>
      <c r="H123" s="1566" t="s">
        <v>545</v>
      </c>
      <c r="I123" s="1053">
        <v>2345000</v>
      </c>
      <c r="J123" s="1053">
        <v>1</v>
      </c>
      <c r="K123" s="1053" t="s">
        <v>584</v>
      </c>
      <c r="L123" s="1053" t="s">
        <v>487</v>
      </c>
      <c r="M123" s="1154" t="s">
        <v>450</v>
      </c>
      <c r="N123" s="1124">
        <f>I123*0.6</f>
        <v>1407000</v>
      </c>
    </row>
    <row r="124" spans="1:14" ht="24.95" customHeight="1">
      <c r="A124" s="768"/>
      <c r="B124" s="768"/>
      <c r="C124" s="772"/>
      <c r="D124" s="768"/>
      <c r="E124" s="768"/>
      <c r="F124" s="768"/>
      <c r="G124" s="772"/>
      <c r="H124" s="1567"/>
      <c r="I124" s="998">
        <v>2370000</v>
      </c>
      <c r="J124" s="998">
        <v>1</v>
      </c>
      <c r="K124" s="998" t="s">
        <v>455</v>
      </c>
      <c r="L124" s="998" t="s">
        <v>487</v>
      </c>
      <c r="M124" s="1139" t="s">
        <v>33</v>
      </c>
      <c r="N124" s="1151">
        <f>I124*0.6</f>
        <v>1422000</v>
      </c>
    </row>
    <row r="125" spans="1:14" ht="24.95" customHeight="1">
      <c r="A125" s="768"/>
      <c r="B125" s="768"/>
      <c r="C125" s="772"/>
      <c r="D125" s="768"/>
      <c r="E125" s="768"/>
      <c r="F125" s="768"/>
      <c r="G125" s="772"/>
      <c r="H125" s="1071" t="s">
        <v>538</v>
      </c>
      <c r="I125" s="1000">
        <v>3078000</v>
      </c>
      <c r="J125" s="1000">
        <v>1</v>
      </c>
      <c r="K125" s="1000" t="s">
        <v>455</v>
      </c>
      <c r="L125" s="1000" t="s">
        <v>488</v>
      </c>
      <c r="M125" s="1142" t="s">
        <v>33</v>
      </c>
      <c r="N125" s="1130">
        <f>I125*1.2</f>
        <v>3693600</v>
      </c>
    </row>
    <row r="126" spans="1:14" ht="24.95" customHeight="1">
      <c r="A126" s="768"/>
      <c r="B126" s="768"/>
      <c r="C126" s="772"/>
      <c r="D126" s="768"/>
      <c r="E126" s="768"/>
      <c r="F126" s="768"/>
      <c r="G126" s="772"/>
      <c r="H126" s="1568" t="s">
        <v>540</v>
      </c>
      <c r="I126" s="1053">
        <v>2811000</v>
      </c>
      <c r="J126" s="1053">
        <v>1</v>
      </c>
      <c r="K126" s="1053" t="s">
        <v>455</v>
      </c>
      <c r="L126" s="1152" t="s">
        <v>487</v>
      </c>
      <c r="M126" s="1154" t="s">
        <v>33</v>
      </c>
      <c r="N126" s="1003">
        <f t="shared" ref="N126:N129" si="6">I126*0.6</f>
        <v>1686600</v>
      </c>
    </row>
    <row r="127" spans="1:14" ht="24.95" customHeight="1">
      <c r="A127" s="768"/>
      <c r="B127" s="768"/>
      <c r="C127" s="772"/>
      <c r="D127" s="768"/>
      <c r="E127" s="768"/>
      <c r="F127" s="768"/>
      <c r="G127" s="772"/>
      <c r="H127" s="1569"/>
      <c r="I127" s="1060">
        <v>2864000</v>
      </c>
      <c r="J127" s="1060">
        <v>1</v>
      </c>
      <c r="K127" s="1060" t="s">
        <v>455</v>
      </c>
      <c r="L127" s="1153" t="s">
        <v>487</v>
      </c>
      <c r="M127" s="1139" t="s">
        <v>33</v>
      </c>
      <c r="N127" s="1126">
        <f t="shared" si="6"/>
        <v>1718400</v>
      </c>
    </row>
    <row r="128" spans="1:14" ht="24.95" customHeight="1">
      <c r="A128" s="768"/>
      <c r="B128" s="768"/>
      <c r="C128" s="772"/>
      <c r="D128" s="768"/>
      <c r="E128" s="768"/>
      <c r="F128" s="768"/>
      <c r="G128" s="772"/>
      <c r="H128" s="1570" t="s">
        <v>543</v>
      </c>
      <c r="I128" s="1053">
        <v>2346000</v>
      </c>
      <c r="J128" s="1053">
        <v>1</v>
      </c>
      <c r="K128" s="1053" t="s">
        <v>455</v>
      </c>
      <c r="L128" s="1152" t="s">
        <v>487</v>
      </c>
      <c r="M128" s="1572" t="s">
        <v>33</v>
      </c>
      <c r="N128" s="1003">
        <f t="shared" si="6"/>
        <v>1407600</v>
      </c>
    </row>
    <row r="129" spans="1:14" ht="24.95" customHeight="1">
      <c r="A129" s="768"/>
      <c r="B129" s="768"/>
      <c r="C129" s="772"/>
      <c r="D129" s="768"/>
      <c r="E129" s="768"/>
      <c r="F129" s="768"/>
      <c r="G129" s="772"/>
      <c r="H129" s="1571"/>
      <c r="I129" s="1060">
        <v>2371000</v>
      </c>
      <c r="J129" s="1060">
        <v>1</v>
      </c>
      <c r="K129" s="1060" t="s">
        <v>455</v>
      </c>
      <c r="L129" s="1153" t="s">
        <v>487</v>
      </c>
      <c r="M129" s="1573"/>
      <c r="N129" s="1122">
        <f t="shared" si="6"/>
        <v>1422600</v>
      </c>
    </row>
    <row r="130" spans="1:14" ht="24.95" customHeight="1">
      <c r="A130" s="768"/>
      <c r="B130" s="768"/>
      <c r="C130" s="772"/>
      <c r="D130" s="768"/>
      <c r="E130" s="768"/>
      <c r="F130" s="768"/>
      <c r="G130" s="772"/>
      <c r="H130" s="1078" t="s">
        <v>542</v>
      </c>
      <c r="I130" s="1066">
        <v>2346000</v>
      </c>
      <c r="J130" s="1066">
        <v>1</v>
      </c>
      <c r="K130" s="1066" t="s">
        <v>455</v>
      </c>
      <c r="L130" s="1066" t="s">
        <v>488</v>
      </c>
      <c r="M130" s="1145" t="s">
        <v>33</v>
      </c>
      <c r="N130" s="1130">
        <f>I130*1.2</f>
        <v>2815200</v>
      </c>
    </row>
    <row r="131" spans="1:14" ht="24.75" customHeight="1" thickBot="1">
      <c r="A131" s="768"/>
      <c r="B131" s="768"/>
      <c r="C131" s="772"/>
      <c r="D131" s="774"/>
      <c r="E131" s="768"/>
      <c r="F131" s="768"/>
      <c r="G131" s="772"/>
      <c r="H131" s="1079" t="s">
        <v>544</v>
      </c>
      <c r="I131" s="1080">
        <v>2420000</v>
      </c>
      <c r="J131" s="1080">
        <v>1</v>
      </c>
      <c r="K131" s="1080" t="s">
        <v>455</v>
      </c>
      <c r="L131" s="1080" t="s">
        <v>488</v>
      </c>
      <c r="M131" s="1146" t="s">
        <v>33</v>
      </c>
      <c r="N131" s="1130">
        <f>I131*1.2</f>
        <v>2904000</v>
      </c>
    </row>
    <row r="132" spans="1:14" ht="15" thickBot="1">
      <c r="A132" s="768"/>
      <c r="B132" s="768"/>
      <c r="C132" s="772"/>
      <c r="D132" s="773">
        <v>3650000</v>
      </c>
      <c r="E132" s="570">
        <v>3650000</v>
      </c>
      <c r="F132" s="719">
        <f>N132</f>
        <v>3660000</v>
      </c>
      <c r="G132" s="570">
        <f>F132-E132</f>
        <v>10000</v>
      </c>
      <c r="H132" s="1045" t="s">
        <v>616</v>
      </c>
      <c r="I132" s="1046"/>
      <c r="J132" s="1047"/>
      <c r="K132" s="1047"/>
      <c r="L132" s="1048"/>
      <c r="M132" s="1049"/>
      <c r="N132" s="1050">
        <f>SUM(N133:N134)</f>
        <v>3660000</v>
      </c>
    </row>
    <row r="133" spans="1:14">
      <c r="A133" s="768"/>
      <c r="B133" s="768"/>
      <c r="C133" s="772"/>
      <c r="D133" s="773"/>
      <c r="E133" s="771"/>
      <c r="F133" s="785"/>
      <c r="G133" s="772"/>
      <c r="H133" s="1156" t="s">
        <v>616</v>
      </c>
      <c r="I133" s="1157">
        <v>10000</v>
      </c>
      <c r="J133" s="1157">
        <v>182</v>
      </c>
      <c r="K133" s="1157" t="s">
        <v>617</v>
      </c>
      <c r="L133" s="1158" t="s">
        <v>719</v>
      </c>
      <c r="M133" s="1159" t="s">
        <v>459</v>
      </c>
      <c r="N133" s="1120">
        <v>1820000</v>
      </c>
    </row>
    <row r="134" spans="1:14" ht="19.5" customHeight="1" thickBot="1">
      <c r="A134" s="768"/>
      <c r="B134" s="768"/>
      <c r="C134" s="772"/>
      <c r="D134" s="774"/>
      <c r="E134" s="771"/>
      <c r="F134" s="768"/>
      <c r="G134" s="772"/>
      <c r="H134" s="1160" t="s">
        <v>616</v>
      </c>
      <c r="I134" s="1161">
        <v>10000</v>
      </c>
      <c r="J134" s="1161">
        <v>184</v>
      </c>
      <c r="K134" s="1161" t="s">
        <v>617</v>
      </c>
      <c r="L134" s="1162"/>
      <c r="M134" s="1163" t="s">
        <v>126</v>
      </c>
      <c r="N134" s="1151">
        <v>1840000</v>
      </c>
    </row>
    <row r="135" spans="1:14" ht="15" thickBot="1">
      <c r="A135" s="768"/>
      <c r="B135" s="768"/>
      <c r="C135" s="772"/>
      <c r="D135" s="774">
        <v>2400000</v>
      </c>
      <c r="E135" s="570">
        <v>2400000</v>
      </c>
      <c r="F135" s="719">
        <f>N135</f>
        <v>2400000</v>
      </c>
      <c r="G135" s="570">
        <f>F135-E135</f>
        <v>0</v>
      </c>
      <c r="H135" s="1045" t="s">
        <v>8</v>
      </c>
      <c r="I135" s="1046"/>
      <c r="J135" s="1047"/>
      <c r="K135" s="1047"/>
      <c r="L135" s="1048"/>
      <c r="M135" s="1049"/>
      <c r="N135" s="1050">
        <f>SUM(N137)</f>
        <v>2400000</v>
      </c>
    </row>
    <row r="136" spans="1:14" ht="19.5" customHeight="1">
      <c r="A136" s="768"/>
      <c r="B136" s="768"/>
      <c r="C136" s="772"/>
      <c r="D136" s="768"/>
      <c r="E136" s="768"/>
      <c r="F136" s="768"/>
      <c r="G136" s="772"/>
      <c r="H136" s="1147" t="s">
        <v>375</v>
      </c>
      <c r="I136" s="1164" t="s">
        <v>376</v>
      </c>
      <c r="J136" s="1148"/>
      <c r="K136" s="1148" t="s">
        <v>491</v>
      </c>
      <c r="L136" s="1148"/>
      <c r="M136" s="1149"/>
      <c r="N136" s="1038" t="s">
        <v>37</v>
      </c>
    </row>
    <row r="137" spans="1:14" ht="19.5" customHeight="1" thickBot="1">
      <c r="A137" s="768"/>
      <c r="B137" s="768"/>
      <c r="C137" s="772"/>
      <c r="D137" s="768"/>
      <c r="E137" s="768"/>
      <c r="F137" s="768"/>
      <c r="G137" s="772"/>
      <c r="H137" s="1165" t="s">
        <v>10</v>
      </c>
      <c r="I137" s="1166">
        <v>200000</v>
      </c>
      <c r="J137" s="1167">
        <v>12</v>
      </c>
      <c r="K137" s="1168" t="s">
        <v>453</v>
      </c>
      <c r="L137" s="1168"/>
      <c r="M137" s="1169" t="s">
        <v>33</v>
      </c>
      <c r="N137" s="1003">
        <v>2400000</v>
      </c>
    </row>
    <row r="138" spans="1:14" ht="24.95" customHeight="1" thickBot="1">
      <c r="A138" s="768"/>
      <c r="B138" s="768"/>
      <c r="C138" s="772"/>
      <c r="D138" s="570">
        <v>5500000</v>
      </c>
      <c r="E138" s="570">
        <v>5500000</v>
      </c>
      <c r="F138" s="719">
        <f>N138</f>
        <v>5650000</v>
      </c>
      <c r="G138" s="570">
        <f>F138-E138</f>
        <v>150000</v>
      </c>
      <c r="H138" s="1045" t="s">
        <v>9</v>
      </c>
      <c r="I138" s="1046"/>
      <c r="J138" s="1047"/>
      <c r="K138" s="1047"/>
      <c r="L138" s="1048"/>
      <c r="M138" s="1049"/>
      <c r="N138" s="1050">
        <f>SUM(N140:N141)</f>
        <v>5650000</v>
      </c>
    </row>
    <row r="139" spans="1:14" ht="15" thickBot="1">
      <c r="A139" s="768"/>
      <c r="B139" s="768"/>
      <c r="C139" s="772"/>
      <c r="D139" s="768"/>
      <c r="E139" s="768"/>
      <c r="F139" s="768"/>
      <c r="G139" s="772"/>
      <c r="H139" s="1134" t="s">
        <v>378</v>
      </c>
      <c r="I139" s="1170" t="s">
        <v>376</v>
      </c>
      <c r="J139" s="1135"/>
      <c r="K139" s="1135" t="s">
        <v>492</v>
      </c>
      <c r="L139" s="1135"/>
      <c r="M139" s="1137"/>
      <c r="N139" s="1032" t="s">
        <v>37</v>
      </c>
    </row>
    <row r="140" spans="1:14">
      <c r="A140" s="768"/>
      <c r="B140" s="768"/>
      <c r="C140" s="772"/>
      <c r="D140" s="768"/>
      <c r="E140" s="768"/>
      <c r="F140" s="768"/>
      <c r="G140" s="772"/>
      <c r="H140" s="1156" t="s">
        <v>104</v>
      </c>
      <c r="I140" s="1157">
        <v>400000</v>
      </c>
      <c r="J140" s="1157">
        <v>10</v>
      </c>
      <c r="K140" s="1157" t="s">
        <v>490</v>
      </c>
      <c r="L140" s="1158"/>
      <c r="M140" s="1159" t="s">
        <v>33</v>
      </c>
      <c r="N140" s="1003">
        <v>4000000</v>
      </c>
    </row>
    <row r="141" spans="1:14" ht="15" thickBot="1">
      <c r="A141" s="768"/>
      <c r="B141" s="768"/>
      <c r="C141" s="772"/>
      <c r="D141" s="768"/>
      <c r="E141" s="768"/>
      <c r="F141" s="768"/>
      <c r="G141" s="772"/>
      <c r="H141" s="1171" t="s">
        <v>443</v>
      </c>
      <c r="I141" s="1172">
        <v>300000</v>
      </c>
      <c r="J141" s="1172">
        <v>6</v>
      </c>
      <c r="K141" s="1172" t="s">
        <v>490</v>
      </c>
      <c r="L141" s="1111" t="s">
        <v>718</v>
      </c>
      <c r="M141" s="1114" t="s">
        <v>33</v>
      </c>
      <c r="N141" s="1003">
        <v>1650000</v>
      </c>
    </row>
    <row r="142" spans="1:14" ht="15" thickBot="1">
      <c r="A142" s="768"/>
      <c r="B142" s="768"/>
      <c r="C142" s="772"/>
      <c r="D142" s="766">
        <v>57535320</v>
      </c>
      <c r="E142" s="570">
        <v>60020580</v>
      </c>
      <c r="F142" s="719">
        <f>N142</f>
        <v>62951719</v>
      </c>
      <c r="G142" s="570">
        <f>F142-E142</f>
        <v>2931139</v>
      </c>
      <c r="H142" s="1134" t="s">
        <v>108</v>
      </c>
      <c r="I142" s="1170"/>
      <c r="J142" s="1136"/>
      <c r="K142" s="1136"/>
      <c r="L142" s="1135"/>
      <c r="M142" s="1137"/>
      <c r="N142" s="1050">
        <f>SUM(N144:N161)</f>
        <v>62951719</v>
      </c>
    </row>
    <row r="143" spans="1:14" ht="15" thickBot="1">
      <c r="A143" s="768"/>
      <c r="B143" s="768"/>
      <c r="C143" s="772"/>
      <c r="D143" s="768"/>
      <c r="E143" s="768"/>
      <c r="F143" s="768"/>
      <c r="G143" s="772"/>
      <c r="H143" s="1045" t="s">
        <v>375</v>
      </c>
      <c r="I143" s="1046" t="s">
        <v>376</v>
      </c>
      <c r="J143" s="1047"/>
      <c r="K143" s="1047"/>
      <c r="L143" s="1048" t="s">
        <v>377</v>
      </c>
      <c r="M143" s="1049"/>
      <c r="N143" s="1032" t="s">
        <v>37</v>
      </c>
    </row>
    <row r="144" spans="1:14" ht="24.95" customHeight="1">
      <c r="A144" s="768"/>
      <c r="B144" s="768"/>
      <c r="C144" s="772"/>
      <c r="D144" s="768"/>
      <c r="E144" s="768"/>
      <c r="F144" s="768"/>
      <c r="G144" s="772"/>
      <c r="H144" s="1173" t="s">
        <v>533</v>
      </c>
      <c r="I144" s="1001">
        <v>75606800</v>
      </c>
      <c r="J144" s="1174">
        <v>12</v>
      </c>
      <c r="K144" s="1063" t="s">
        <v>464</v>
      </c>
      <c r="L144" s="1175">
        <v>8.3299999999999999E-2</v>
      </c>
      <c r="M144" s="1146" t="s">
        <v>33</v>
      </c>
      <c r="N144" s="1176">
        <v>6298060</v>
      </c>
    </row>
    <row r="145" spans="1:14" ht="24.95" customHeight="1">
      <c r="A145" s="768"/>
      <c r="B145" s="768"/>
      <c r="C145" s="772"/>
      <c r="D145" s="768"/>
      <c r="E145" s="768"/>
      <c r="F145" s="768"/>
      <c r="G145" s="772"/>
      <c r="H145" s="1177" t="s">
        <v>531</v>
      </c>
      <c r="I145" s="1178">
        <v>52841010</v>
      </c>
      <c r="J145" s="1179">
        <v>12</v>
      </c>
      <c r="K145" s="1180" t="s">
        <v>464</v>
      </c>
      <c r="L145" s="1181">
        <v>8.3299999999999999E-2</v>
      </c>
      <c r="M145" s="1182" t="s">
        <v>33</v>
      </c>
      <c r="N145" s="1183">
        <v>4401650</v>
      </c>
    </row>
    <row r="146" spans="1:14" ht="24.95" customHeight="1">
      <c r="A146" s="768"/>
      <c r="B146" s="768"/>
      <c r="C146" s="772"/>
      <c r="D146" s="768"/>
      <c r="E146" s="768"/>
      <c r="F146" s="768"/>
      <c r="G146" s="772"/>
      <c r="H146" s="1177" t="s">
        <v>529</v>
      </c>
      <c r="I146" s="1178">
        <v>61765200</v>
      </c>
      <c r="J146" s="1179">
        <v>12</v>
      </c>
      <c r="K146" s="1180" t="s">
        <v>464</v>
      </c>
      <c r="L146" s="1181">
        <v>8.3299999999999999E-2</v>
      </c>
      <c r="M146" s="1182" t="s">
        <v>33</v>
      </c>
      <c r="N146" s="1183">
        <v>5145070</v>
      </c>
    </row>
    <row r="147" spans="1:14" ht="24.95" customHeight="1">
      <c r="A147" s="768"/>
      <c r="B147" s="768"/>
      <c r="C147" s="772"/>
      <c r="D147" s="768"/>
      <c r="E147" s="768"/>
      <c r="F147" s="768"/>
      <c r="G147" s="772"/>
      <c r="H147" s="1177" t="s">
        <v>529</v>
      </c>
      <c r="I147" s="1178">
        <v>59115160</v>
      </c>
      <c r="J147" s="1179">
        <v>12</v>
      </c>
      <c r="K147" s="1180" t="s">
        <v>464</v>
      </c>
      <c r="L147" s="1181">
        <v>8.3299999999999999E-2</v>
      </c>
      <c r="M147" s="1182" t="s">
        <v>33</v>
      </c>
      <c r="N147" s="1183">
        <v>4924260</v>
      </c>
    </row>
    <row r="148" spans="1:14" ht="24.95" customHeight="1">
      <c r="A148" s="768"/>
      <c r="B148" s="768"/>
      <c r="C148" s="772"/>
      <c r="D148" s="768"/>
      <c r="E148" s="768"/>
      <c r="F148" s="768"/>
      <c r="G148" s="772"/>
      <c r="H148" s="1177" t="s">
        <v>529</v>
      </c>
      <c r="I148" s="1178">
        <v>60654010</v>
      </c>
      <c r="J148" s="1179">
        <v>12</v>
      </c>
      <c r="K148" s="1180" t="s">
        <v>464</v>
      </c>
      <c r="L148" s="1181">
        <v>8.3299999999999999E-2</v>
      </c>
      <c r="M148" s="1182" t="s">
        <v>33</v>
      </c>
      <c r="N148" s="1183">
        <v>5052440</v>
      </c>
    </row>
    <row r="149" spans="1:14" ht="24.95" customHeight="1">
      <c r="A149" s="768"/>
      <c r="B149" s="768"/>
      <c r="C149" s="772"/>
      <c r="D149" s="768"/>
      <c r="E149" s="768"/>
      <c r="F149" s="768"/>
      <c r="G149" s="772"/>
      <c r="H149" s="1177" t="s">
        <v>535</v>
      </c>
      <c r="I149" s="1178">
        <v>15883040</v>
      </c>
      <c r="J149" s="1179">
        <v>12</v>
      </c>
      <c r="K149" s="1180" t="s">
        <v>464</v>
      </c>
      <c r="L149" s="1181" t="s">
        <v>698</v>
      </c>
      <c r="M149" s="1182" t="s">
        <v>33</v>
      </c>
      <c r="N149" s="1183">
        <v>3828220</v>
      </c>
    </row>
    <row r="150" spans="1:14" ht="24.95" customHeight="1">
      <c r="A150" s="768"/>
      <c r="B150" s="768"/>
      <c r="C150" s="772"/>
      <c r="D150" s="768"/>
      <c r="E150" s="768"/>
      <c r="F150" s="768"/>
      <c r="G150" s="772"/>
      <c r="H150" s="1177" t="s">
        <v>535</v>
      </c>
      <c r="I150" s="1178">
        <v>44017160</v>
      </c>
      <c r="J150" s="1179">
        <v>12</v>
      </c>
      <c r="K150" s="1180" t="s">
        <v>464</v>
      </c>
      <c r="L150" s="1181">
        <v>8.3299999999999999E-2</v>
      </c>
      <c r="M150" s="1182" t="s">
        <v>33</v>
      </c>
      <c r="N150" s="1183">
        <v>3666640</v>
      </c>
    </row>
    <row r="151" spans="1:14" ht="24.95" customHeight="1">
      <c r="A151" s="768"/>
      <c r="B151" s="768"/>
      <c r="C151" s="772"/>
      <c r="D151" s="768"/>
      <c r="E151" s="768"/>
      <c r="F151" s="768"/>
      <c r="G151" s="772"/>
      <c r="H151" s="1177" t="s">
        <v>535</v>
      </c>
      <c r="I151" s="1178">
        <v>44555580</v>
      </c>
      <c r="J151" s="1179">
        <v>12</v>
      </c>
      <c r="K151" s="1180" t="s">
        <v>464</v>
      </c>
      <c r="L151" s="1181">
        <v>8.3299999999999999E-2</v>
      </c>
      <c r="M151" s="1182" t="s">
        <v>33</v>
      </c>
      <c r="N151" s="1183">
        <v>3711500</v>
      </c>
    </row>
    <row r="152" spans="1:14" ht="24.95" customHeight="1">
      <c r="A152" s="768"/>
      <c r="B152" s="768"/>
      <c r="C152" s="772"/>
      <c r="D152" s="768"/>
      <c r="E152" s="768"/>
      <c r="F152" s="768"/>
      <c r="G152" s="772"/>
      <c r="H152" s="1177" t="s">
        <v>536</v>
      </c>
      <c r="I152" s="1178">
        <v>38805220</v>
      </c>
      <c r="J152" s="1179">
        <v>12</v>
      </c>
      <c r="K152" s="1180" t="s">
        <v>464</v>
      </c>
      <c r="L152" s="1181">
        <v>8.3299999999999999E-2</v>
      </c>
      <c r="M152" s="1182" t="s">
        <v>33</v>
      </c>
      <c r="N152" s="1183">
        <v>3232450</v>
      </c>
    </row>
    <row r="153" spans="1:14" ht="24.95" customHeight="1">
      <c r="A153" s="768"/>
      <c r="B153" s="768"/>
      <c r="C153" s="772"/>
      <c r="D153" s="768"/>
      <c r="E153" s="768"/>
      <c r="F153" s="768"/>
      <c r="G153" s="772"/>
      <c r="H153" s="1177" t="s">
        <v>536</v>
      </c>
      <c r="I153" s="1178">
        <v>18384240</v>
      </c>
      <c r="J153" s="1179">
        <v>6</v>
      </c>
      <c r="K153" s="1180" t="s">
        <v>464</v>
      </c>
      <c r="L153" s="1181" t="s">
        <v>744</v>
      </c>
      <c r="M153" s="1182" t="s">
        <v>33</v>
      </c>
      <c r="N153" s="1183">
        <v>1531390</v>
      </c>
    </row>
    <row r="154" spans="1:14" ht="24.95" customHeight="1">
      <c r="A154" s="768"/>
      <c r="B154" s="768"/>
      <c r="C154" s="772"/>
      <c r="D154" s="768"/>
      <c r="E154" s="768"/>
      <c r="F154" s="768"/>
      <c r="G154" s="772"/>
      <c r="H154" s="1177" t="s">
        <v>545</v>
      </c>
      <c r="I154" s="1178">
        <v>34835583.741935484</v>
      </c>
      <c r="J154" s="1179">
        <v>12</v>
      </c>
      <c r="K154" s="1180" t="s">
        <v>464</v>
      </c>
      <c r="L154" s="1181">
        <v>8.3299999999999999E-2</v>
      </c>
      <c r="M154" s="1182" t="s">
        <v>33</v>
      </c>
      <c r="N154" s="1183">
        <v>2901790</v>
      </c>
    </row>
    <row r="155" spans="1:14" ht="24.95" customHeight="1">
      <c r="A155" s="768"/>
      <c r="B155" s="768"/>
      <c r="C155" s="772"/>
      <c r="D155" s="768"/>
      <c r="E155" s="768"/>
      <c r="F155" s="768"/>
      <c r="G155" s="772"/>
      <c r="H155" s="1177" t="s">
        <v>538</v>
      </c>
      <c r="I155" s="1178">
        <v>46440960</v>
      </c>
      <c r="J155" s="1179">
        <v>12</v>
      </c>
      <c r="K155" s="1180" t="s">
        <v>464</v>
      </c>
      <c r="L155" s="1181">
        <v>8.3299999999999999E-2</v>
      </c>
      <c r="M155" s="1182" t="s">
        <v>33</v>
      </c>
      <c r="N155" s="1183">
        <v>3868560</v>
      </c>
    </row>
    <row r="156" spans="1:14" ht="24.95" customHeight="1">
      <c r="A156" s="768"/>
      <c r="B156" s="768"/>
      <c r="C156" s="772"/>
      <c r="D156" s="768"/>
      <c r="E156" s="768"/>
      <c r="F156" s="768"/>
      <c r="G156" s="772"/>
      <c r="H156" s="1184" t="s">
        <v>540</v>
      </c>
      <c r="I156" s="1178">
        <v>43494330</v>
      </c>
      <c r="J156" s="1179">
        <v>12</v>
      </c>
      <c r="K156" s="1180" t="s">
        <v>464</v>
      </c>
      <c r="L156" s="1181">
        <v>8.3299999999999999E-2</v>
      </c>
      <c r="M156" s="1182" t="s">
        <v>33</v>
      </c>
      <c r="N156" s="1183">
        <v>3623040</v>
      </c>
    </row>
    <row r="157" spans="1:14" ht="24.95" customHeight="1">
      <c r="A157" s="768"/>
      <c r="B157" s="768"/>
      <c r="C157" s="772"/>
      <c r="D157" s="768"/>
      <c r="E157" s="768"/>
      <c r="F157" s="768"/>
      <c r="G157" s="772"/>
      <c r="H157" s="1177" t="s">
        <v>542</v>
      </c>
      <c r="I157" s="1178">
        <v>35718600</v>
      </c>
      <c r="J157" s="1179">
        <v>12</v>
      </c>
      <c r="K157" s="1180" t="s">
        <v>464</v>
      </c>
      <c r="L157" s="1181">
        <v>8.3299999999999999E-2</v>
      </c>
      <c r="M157" s="1182" t="s">
        <v>33</v>
      </c>
      <c r="N157" s="1183">
        <v>2975350</v>
      </c>
    </row>
    <row r="158" spans="1:14" ht="24.95" customHeight="1">
      <c r="A158" s="768"/>
      <c r="B158" s="768"/>
      <c r="C158" s="772"/>
      <c r="D158" s="768"/>
      <c r="E158" s="768"/>
      <c r="F158" s="768"/>
      <c r="G158" s="772"/>
      <c r="H158" s="1177" t="s">
        <v>542</v>
      </c>
      <c r="I158" s="1178">
        <v>35592840</v>
      </c>
      <c r="J158" s="1179">
        <v>12</v>
      </c>
      <c r="K158" s="1180" t="s">
        <v>464</v>
      </c>
      <c r="L158" s="1181">
        <v>8.3299999999999999E-2</v>
      </c>
      <c r="M158" s="1182" t="s">
        <v>33</v>
      </c>
      <c r="N158" s="1183">
        <v>2964860</v>
      </c>
    </row>
    <row r="159" spans="1:14" ht="24.95" customHeight="1">
      <c r="A159" s="768"/>
      <c r="B159" s="768"/>
      <c r="C159" s="772"/>
      <c r="D159" s="768"/>
      <c r="E159" s="768"/>
      <c r="F159" s="768"/>
      <c r="G159" s="772"/>
      <c r="H159" s="1177" t="s">
        <v>544</v>
      </c>
      <c r="I159" s="1178">
        <v>37385280</v>
      </c>
      <c r="J159" s="1179">
        <v>12</v>
      </c>
      <c r="K159" s="1180" t="s">
        <v>464</v>
      </c>
      <c r="L159" s="1181">
        <v>8.3299999999999999E-2</v>
      </c>
      <c r="M159" s="1182" t="s">
        <v>33</v>
      </c>
      <c r="N159" s="1183">
        <v>3114220</v>
      </c>
    </row>
    <row r="160" spans="1:14" ht="24.95" customHeight="1">
      <c r="A160" s="768"/>
      <c r="B160" s="768"/>
      <c r="C160" s="772"/>
      <c r="D160" s="768"/>
      <c r="E160" s="768"/>
      <c r="F160" s="768"/>
      <c r="G160" s="772"/>
      <c r="H160" s="1173" t="s">
        <v>745</v>
      </c>
      <c r="I160" s="1001">
        <v>1407219</v>
      </c>
      <c r="J160" s="1174">
        <v>1</v>
      </c>
      <c r="K160" s="1001" t="s">
        <v>455</v>
      </c>
      <c r="L160" s="1185" t="s">
        <v>746</v>
      </c>
      <c r="M160" s="1146" t="s">
        <v>459</v>
      </c>
      <c r="N160" s="1176">
        <v>1407219</v>
      </c>
    </row>
    <row r="161" spans="1:22" ht="24.95" customHeight="1" thickBot="1">
      <c r="A161" s="768"/>
      <c r="B161" s="768"/>
      <c r="C161" s="772"/>
      <c r="D161" s="768"/>
      <c r="E161" s="768"/>
      <c r="F161" s="768"/>
      <c r="G161" s="772"/>
      <c r="H161" s="1079" t="s">
        <v>683</v>
      </c>
      <c r="I161" s="1080">
        <v>3650000</v>
      </c>
      <c r="J161" s="1174">
        <v>1</v>
      </c>
      <c r="K161" s="1001" t="s">
        <v>684</v>
      </c>
      <c r="L161" s="1186">
        <v>8.3299999999999999E-2</v>
      </c>
      <c r="M161" s="1187" t="s">
        <v>236</v>
      </c>
      <c r="N161" s="1176">
        <v>305000</v>
      </c>
      <c r="Q161" s="539">
        <f>IF($M161="법인전입금",$N161,0)</f>
        <v>305000</v>
      </c>
    </row>
    <row r="162" spans="1:22" ht="15" customHeight="1" thickBot="1">
      <c r="A162" s="768"/>
      <c r="B162" s="768"/>
      <c r="C162" s="771"/>
      <c r="D162" s="766">
        <v>70017230</v>
      </c>
      <c r="E162" s="570">
        <v>76333060</v>
      </c>
      <c r="F162" s="719">
        <f>N162</f>
        <v>68470990</v>
      </c>
      <c r="G162" s="570">
        <f>F162-E162</f>
        <v>-7862070</v>
      </c>
      <c r="H162" s="1084" t="s">
        <v>25</v>
      </c>
      <c r="I162" s="1085"/>
      <c r="J162" s="1086"/>
      <c r="K162" s="1086"/>
      <c r="L162" s="1086"/>
      <c r="M162" s="1188"/>
      <c r="N162" s="1050">
        <f>SUM(N163:N167)</f>
        <v>68470990</v>
      </c>
    </row>
    <row r="163" spans="1:22" ht="24" customHeight="1">
      <c r="A163" s="768"/>
      <c r="B163" s="768"/>
      <c r="C163" s="771"/>
      <c r="D163" s="772"/>
      <c r="E163" s="773"/>
      <c r="F163" s="773"/>
      <c r="G163" s="772"/>
      <c r="H163" s="1189" t="s">
        <v>109</v>
      </c>
      <c r="I163" s="1190">
        <v>683789210</v>
      </c>
      <c r="J163" s="1191">
        <v>12</v>
      </c>
      <c r="K163" s="1192" t="s">
        <v>464</v>
      </c>
      <c r="L163" s="1193">
        <v>4.4999999999999998E-2</v>
      </c>
      <c r="M163" s="1194" t="s">
        <v>33</v>
      </c>
      <c r="N163" s="710">
        <v>27987690</v>
      </c>
    </row>
    <row r="164" spans="1:22" ht="24" customHeight="1">
      <c r="A164" s="768"/>
      <c r="B164" s="768"/>
      <c r="C164" s="771"/>
      <c r="D164" s="772"/>
      <c r="E164" s="768"/>
      <c r="F164" s="768"/>
      <c r="G164" s="772"/>
      <c r="H164" s="1065" t="s">
        <v>527</v>
      </c>
      <c r="I164" s="1195">
        <v>683789210</v>
      </c>
      <c r="J164" s="1196">
        <v>12</v>
      </c>
      <c r="K164" s="1197" t="s">
        <v>464</v>
      </c>
      <c r="L164" s="1198">
        <v>3.5450000000000002E-2</v>
      </c>
      <c r="M164" s="1145" t="s">
        <v>33</v>
      </c>
      <c r="N164" s="658">
        <v>22048080</v>
      </c>
    </row>
    <row r="165" spans="1:22" ht="24" customHeight="1">
      <c r="A165" s="768"/>
      <c r="B165" s="768"/>
      <c r="C165" s="771"/>
      <c r="D165" s="772"/>
      <c r="E165" s="768"/>
      <c r="F165" s="768"/>
      <c r="G165" s="772"/>
      <c r="H165" s="1078" t="s">
        <v>460</v>
      </c>
      <c r="I165" s="1195">
        <f>N164</f>
        <v>22048080</v>
      </c>
      <c r="J165" s="1196">
        <v>12</v>
      </c>
      <c r="K165" s="1197" t="s">
        <v>464</v>
      </c>
      <c r="L165" s="1199">
        <v>0.12809999999999999</v>
      </c>
      <c r="M165" s="1145" t="s">
        <v>33</v>
      </c>
      <c r="N165" s="658">
        <v>2824360</v>
      </c>
    </row>
    <row r="166" spans="1:22" ht="24" customHeight="1">
      <c r="A166" s="768"/>
      <c r="B166" s="768"/>
      <c r="C166" s="771"/>
      <c r="D166" s="772"/>
      <c r="E166" s="768"/>
      <c r="F166" s="768"/>
      <c r="G166" s="772"/>
      <c r="H166" s="997" t="s">
        <v>111</v>
      </c>
      <c r="I166" s="1200">
        <v>683789210</v>
      </c>
      <c r="J166" s="1201">
        <v>12</v>
      </c>
      <c r="K166" s="1202" t="s">
        <v>464</v>
      </c>
      <c r="L166" s="1203">
        <v>1.7500000000000002E-2</v>
      </c>
      <c r="M166" s="1139" t="s">
        <v>33</v>
      </c>
      <c r="N166" s="658">
        <v>10884090</v>
      </c>
      <c r="S166" s="519"/>
      <c r="T166" s="519"/>
    </row>
    <row r="167" spans="1:22" ht="24" customHeight="1" thickBot="1">
      <c r="A167" s="768"/>
      <c r="B167" s="768"/>
      <c r="C167" s="771"/>
      <c r="D167" s="772"/>
      <c r="E167" s="768"/>
      <c r="F167" s="768"/>
      <c r="G167" s="772"/>
      <c r="H167" s="1079" t="s">
        <v>112</v>
      </c>
      <c r="I167" s="1204">
        <v>683789210</v>
      </c>
      <c r="J167" s="1205">
        <v>12</v>
      </c>
      <c r="K167" s="1206" t="s">
        <v>464</v>
      </c>
      <c r="L167" s="1207">
        <v>7.6E-3</v>
      </c>
      <c r="M167" s="1146" t="s">
        <v>33</v>
      </c>
      <c r="N167" s="658">
        <v>4726770</v>
      </c>
      <c r="P167" s="438">
        <f>O168-P168</f>
        <v>0</v>
      </c>
      <c r="S167" s="519"/>
      <c r="T167" s="519"/>
    </row>
    <row r="168" spans="1:22" ht="15" thickBot="1">
      <c r="A168" s="768"/>
      <c r="B168" s="570" t="s">
        <v>188</v>
      </c>
      <c r="C168" s="570"/>
      <c r="D168" s="582">
        <f>D169+D197+D219+D240+D248+D252</f>
        <v>117429830</v>
      </c>
      <c r="E168" s="766">
        <v>114625474</v>
      </c>
      <c r="F168" s="766">
        <f>F169+F197+F219+F240+F248+F252</f>
        <v>114141166</v>
      </c>
      <c r="G168" s="571">
        <f>F168-E168</f>
        <v>-484308</v>
      </c>
      <c r="H168" s="1045" t="s">
        <v>188</v>
      </c>
      <c r="I168" s="1046"/>
      <c r="J168" s="1047"/>
      <c r="K168" s="1047"/>
      <c r="L168" s="1048"/>
      <c r="M168" s="1049"/>
      <c r="N168" s="1050">
        <f>SUM(N169,N197,N219,N240,N248,N252)</f>
        <v>114141166</v>
      </c>
      <c r="O168" s="519">
        <f>75272140-1752910-500000</f>
        <v>73019230</v>
      </c>
      <c r="P168" s="438">
        <f t="shared" ref="P168:V168" si="7">P169+P197+P219+P240+P248+P252+P255</f>
        <v>73019230</v>
      </c>
      <c r="Q168" s="438">
        <f t="shared" si="7"/>
        <v>6855000</v>
      </c>
      <c r="R168" s="438">
        <f t="shared" si="7"/>
        <v>16541830</v>
      </c>
      <c r="S168" s="438">
        <f t="shared" si="7"/>
        <v>10898687</v>
      </c>
      <c r="T168" s="438">
        <f t="shared" si="7"/>
        <v>11916619</v>
      </c>
      <c r="U168" s="438">
        <f t="shared" si="7"/>
        <v>0</v>
      </c>
      <c r="V168" s="438">
        <f t="shared" si="7"/>
        <v>0</v>
      </c>
    </row>
    <row r="169" spans="1:22" ht="15" thickBot="1">
      <c r="A169" s="768"/>
      <c r="B169" s="768"/>
      <c r="C169" s="570" t="s">
        <v>189</v>
      </c>
      <c r="D169" s="766">
        <v>31150900</v>
      </c>
      <c r="E169" s="570">
        <v>25028705</v>
      </c>
      <c r="F169" s="719">
        <f>N169</f>
        <v>30493275</v>
      </c>
      <c r="G169" s="570">
        <f>F169-E169</f>
        <v>5464570</v>
      </c>
      <c r="H169" s="1045" t="s">
        <v>189</v>
      </c>
      <c r="I169" s="1046" t="s">
        <v>376</v>
      </c>
      <c r="J169" s="1047"/>
      <c r="K169" s="1047"/>
      <c r="L169" s="1048"/>
      <c r="M169" s="1049"/>
      <c r="N169" s="1050">
        <f>SUM(N172:N196)</f>
        <v>30493275</v>
      </c>
      <c r="P169" s="519">
        <f t="shared" ref="P169:V169" si="8">SUM(P172:P196)</f>
        <v>27446080</v>
      </c>
      <c r="Q169" s="519">
        <f t="shared" si="8"/>
        <v>250000</v>
      </c>
      <c r="R169" s="519">
        <f t="shared" si="8"/>
        <v>1701830</v>
      </c>
      <c r="S169" s="519">
        <f t="shared" si="8"/>
        <v>0</v>
      </c>
      <c r="T169" s="519">
        <f t="shared" si="8"/>
        <v>1095365</v>
      </c>
      <c r="U169" s="519">
        <f t="shared" si="8"/>
        <v>0</v>
      </c>
      <c r="V169" s="519">
        <f t="shared" si="8"/>
        <v>0</v>
      </c>
    </row>
    <row r="170" spans="1:22" ht="14.25" hidden="1" customHeight="1" thickBot="1">
      <c r="A170" s="768"/>
      <c r="B170" s="768"/>
      <c r="C170" s="768"/>
      <c r="D170" s="775"/>
      <c r="E170" s="775"/>
      <c r="F170" s="775"/>
      <c r="G170" s="768">
        <f t="shared" ref="G170" si="9">E170-F170</f>
        <v>0</v>
      </c>
      <c r="H170" s="1208"/>
      <c r="I170" s="1209"/>
      <c r="J170" s="1210"/>
      <c r="K170" s="1210"/>
      <c r="L170" s="1612"/>
      <c r="M170" s="1613"/>
      <c r="N170" s="1003"/>
    </row>
    <row r="171" spans="1:22" ht="14.25" hidden="1" customHeight="1">
      <c r="A171" s="768"/>
      <c r="B171" s="768"/>
      <c r="C171" s="768"/>
      <c r="D171" s="775"/>
      <c r="E171" s="775"/>
      <c r="F171" s="775"/>
      <c r="G171" s="768">
        <f t="shared" ref="G171" si="10">E171-F171</f>
        <v>0</v>
      </c>
      <c r="H171" s="1208"/>
      <c r="I171" s="1209"/>
      <c r="J171" s="1210"/>
      <c r="K171" s="1210"/>
      <c r="L171" s="1212"/>
      <c r="M171" s="1213"/>
      <c r="N171" s="1003"/>
    </row>
    <row r="172" spans="1:22" s="539" customFormat="1" ht="21" customHeight="1">
      <c r="A172" s="768"/>
      <c r="B172" s="768"/>
      <c r="C172" s="768"/>
      <c r="D172" s="775"/>
      <c r="E172" s="775"/>
      <c r="F172" s="775"/>
      <c r="G172" s="775"/>
      <c r="H172" s="1214" t="s">
        <v>380</v>
      </c>
      <c r="I172" s="1215">
        <v>350000</v>
      </c>
      <c r="J172" s="1117">
        <v>12</v>
      </c>
      <c r="K172" s="1118" t="s">
        <v>453</v>
      </c>
      <c r="L172" s="1118"/>
      <c r="M172" s="1216" t="s">
        <v>33</v>
      </c>
      <c r="N172" s="1217">
        <f t="shared" ref="N172:N196" si="11">I172*J172</f>
        <v>4200000</v>
      </c>
      <c r="P172" s="539">
        <f>IF($M172="보조금",$N172,0)</f>
        <v>4200000</v>
      </c>
      <c r="Q172" s="539">
        <f>IF($M172="법인전입금",$N172,0)</f>
        <v>0</v>
      </c>
      <c r="R172" s="539">
        <f>IF($M172="구법인",$N172,0)</f>
        <v>0</v>
      </c>
      <c r="S172" s="539">
        <f>IF($M172="지정후원금",$N172,0)</f>
        <v>0</v>
      </c>
      <c r="T172" s="539">
        <f>IF($M172="비지정후원금",$N172,0)</f>
        <v>0</v>
      </c>
      <c r="U172" s="539">
        <f>IF(OR($M172="수익사업"),$N172,0)</f>
        <v>0</v>
      </c>
      <c r="V172" s="539">
        <f>IF(OR($M172="잡수입"),$N172,0)</f>
        <v>0</v>
      </c>
    </row>
    <row r="173" spans="1:22" s="539" customFormat="1" ht="21" customHeight="1">
      <c r="A173" s="768"/>
      <c r="B173" s="768"/>
      <c r="C173" s="768"/>
      <c r="D173" s="775"/>
      <c r="E173" s="775"/>
      <c r="F173" s="775"/>
      <c r="G173" s="775"/>
      <c r="H173" s="1078" t="s">
        <v>404</v>
      </c>
      <c r="I173" s="1218">
        <v>220000</v>
      </c>
      <c r="J173" s="1067">
        <v>12</v>
      </c>
      <c r="K173" s="1066" t="s">
        <v>453</v>
      </c>
      <c r="L173" s="1066"/>
      <c r="M173" s="1219" t="s">
        <v>33</v>
      </c>
      <c r="N173" s="1220">
        <f t="shared" si="11"/>
        <v>2640000</v>
      </c>
      <c r="P173" s="539">
        <f t="shared" ref="P173:P218" si="12">IF($M173="보조금",$N173,0)</f>
        <v>2640000</v>
      </c>
      <c r="Q173" s="539">
        <f t="shared" ref="Q173:Q177" si="13">IF($M173="법인전입금",$N173,0)</f>
        <v>0</v>
      </c>
      <c r="R173" s="539">
        <f t="shared" ref="R173:R218" si="14">IF($M173="구법인",$N173,0)</f>
        <v>0</v>
      </c>
      <c r="S173" s="539">
        <f t="shared" ref="S173:S218" si="15">IF($M173="지정후원금",$N173,0)</f>
        <v>0</v>
      </c>
      <c r="T173" s="539">
        <f t="shared" ref="T173:T223" si="16">IF($M173="비지정후원금",$N173,0)</f>
        <v>0</v>
      </c>
      <c r="U173" s="539">
        <f t="shared" ref="U173:U223" si="17">IF(OR($M173="수익사업"),$N173,0)</f>
        <v>0</v>
      </c>
      <c r="V173" s="539">
        <f t="shared" ref="V173:V218" si="18">IF(OR($M173="잡수입"),$N173,0)</f>
        <v>0</v>
      </c>
    </row>
    <row r="174" spans="1:22" s="539" customFormat="1" ht="21" customHeight="1">
      <c r="A174" s="768"/>
      <c r="B174" s="768"/>
      <c r="C174" s="768"/>
      <c r="D174" s="775"/>
      <c r="E174" s="775"/>
      <c r="F174" s="775"/>
      <c r="G174" s="775"/>
      <c r="H174" s="1065" t="s">
        <v>451</v>
      </c>
      <c r="I174" s="1218">
        <v>180000</v>
      </c>
      <c r="J174" s="1067">
        <v>6</v>
      </c>
      <c r="K174" s="1066" t="s">
        <v>455</v>
      </c>
      <c r="L174" s="1066"/>
      <c r="M174" s="1219" t="s">
        <v>33</v>
      </c>
      <c r="N174" s="1220">
        <f t="shared" si="11"/>
        <v>1080000</v>
      </c>
      <c r="P174" s="539">
        <f t="shared" si="12"/>
        <v>1080000</v>
      </c>
      <c r="Q174" s="539">
        <f t="shared" si="13"/>
        <v>0</v>
      </c>
      <c r="R174" s="539">
        <f t="shared" si="14"/>
        <v>0</v>
      </c>
      <c r="S174" s="539">
        <f t="shared" si="15"/>
        <v>0</v>
      </c>
      <c r="T174" s="539">
        <f t="shared" si="16"/>
        <v>0</v>
      </c>
      <c r="U174" s="539">
        <f t="shared" si="17"/>
        <v>0</v>
      </c>
      <c r="V174" s="539">
        <f t="shared" si="18"/>
        <v>0</v>
      </c>
    </row>
    <row r="175" spans="1:22" s="539" customFormat="1" ht="21" customHeight="1">
      <c r="A175" s="768"/>
      <c r="B175" s="768"/>
      <c r="C175" s="768"/>
      <c r="D175" s="775"/>
      <c r="E175" s="775"/>
      <c r="F175" s="775"/>
      <c r="G175" s="775"/>
      <c r="H175" s="1065" t="s">
        <v>379</v>
      </c>
      <c r="I175" s="1218">
        <v>264000</v>
      </c>
      <c r="J175" s="1067">
        <v>12</v>
      </c>
      <c r="K175" s="1066" t="s">
        <v>453</v>
      </c>
      <c r="L175" s="1066"/>
      <c r="M175" s="1219" t="s">
        <v>33</v>
      </c>
      <c r="N175" s="1220">
        <f t="shared" si="11"/>
        <v>3168000</v>
      </c>
      <c r="P175" s="539">
        <f t="shared" si="12"/>
        <v>3168000</v>
      </c>
      <c r="Q175" s="539">
        <f t="shared" si="13"/>
        <v>0</v>
      </c>
      <c r="R175" s="539">
        <f t="shared" si="14"/>
        <v>0</v>
      </c>
      <c r="S175" s="539">
        <f t="shared" si="15"/>
        <v>0</v>
      </c>
      <c r="T175" s="539">
        <f t="shared" si="16"/>
        <v>0</v>
      </c>
      <c r="U175" s="539">
        <f t="shared" si="17"/>
        <v>0</v>
      </c>
      <c r="V175" s="539">
        <f t="shared" si="18"/>
        <v>0</v>
      </c>
    </row>
    <row r="176" spans="1:22" s="539" customFormat="1" ht="21" customHeight="1">
      <c r="A176" s="768"/>
      <c r="B176" s="768"/>
      <c r="C176" s="768"/>
      <c r="D176" s="775"/>
      <c r="E176" s="775"/>
      <c r="F176" s="775"/>
      <c r="G176" s="775"/>
      <c r="H176" s="1071" t="s">
        <v>454</v>
      </c>
      <c r="I176" s="1221">
        <v>110000</v>
      </c>
      <c r="J176" s="1063">
        <v>11</v>
      </c>
      <c r="K176" s="1001" t="s">
        <v>453</v>
      </c>
      <c r="L176" s="1001"/>
      <c r="M176" s="1222" t="s">
        <v>33</v>
      </c>
      <c r="N176" s="1151">
        <f t="shared" si="11"/>
        <v>1210000</v>
      </c>
      <c r="P176" s="539">
        <f t="shared" si="12"/>
        <v>1210000</v>
      </c>
      <c r="Q176" s="539">
        <f t="shared" si="13"/>
        <v>0</v>
      </c>
      <c r="R176" s="539">
        <f t="shared" si="14"/>
        <v>0</v>
      </c>
      <c r="S176" s="539">
        <f t="shared" si="15"/>
        <v>0</v>
      </c>
      <c r="T176" s="539">
        <f t="shared" si="16"/>
        <v>0</v>
      </c>
      <c r="U176" s="539">
        <f t="shared" si="17"/>
        <v>0</v>
      </c>
      <c r="V176" s="539">
        <f t="shared" si="18"/>
        <v>0</v>
      </c>
    </row>
    <row r="177" spans="1:22" s="539" customFormat="1" ht="21" customHeight="1">
      <c r="A177" s="768"/>
      <c r="B177" s="768"/>
      <c r="C177" s="768"/>
      <c r="D177" s="775"/>
      <c r="E177" s="775"/>
      <c r="F177" s="775"/>
      <c r="G177" s="775"/>
      <c r="H177" s="1052" t="s">
        <v>446</v>
      </c>
      <c r="I177" s="1223">
        <v>250000</v>
      </c>
      <c r="J177" s="1054">
        <v>12</v>
      </c>
      <c r="K177" s="1053" t="s">
        <v>453</v>
      </c>
      <c r="L177" s="1053"/>
      <c r="M177" s="1224" t="s">
        <v>33</v>
      </c>
      <c r="N177" s="1217">
        <f t="shared" si="11"/>
        <v>3000000</v>
      </c>
      <c r="P177" s="539">
        <f t="shared" si="12"/>
        <v>3000000</v>
      </c>
      <c r="Q177" s="539">
        <f t="shared" si="13"/>
        <v>0</v>
      </c>
      <c r="R177" s="539">
        <f t="shared" si="14"/>
        <v>0</v>
      </c>
      <c r="S177" s="539">
        <f t="shared" si="15"/>
        <v>0</v>
      </c>
      <c r="T177" s="539">
        <f t="shared" si="16"/>
        <v>0</v>
      </c>
      <c r="U177" s="539">
        <f t="shared" si="17"/>
        <v>0</v>
      </c>
      <c r="V177" s="539">
        <f t="shared" si="18"/>
        <v>0</v>
      </c>
    </row>
    <row r="178" spans="1:22" s="539" customFormat="1" ht="21" customHeight="1">
      <c r="A178" s="768"/>
      <c r="B178" s="768"/>
      <c r="C178" s="768"/>
      <c r="D178" s="775"/>
      <c r="E178" s="775"/>
      <c r="F178" s="775"/>
      <c r="G178" s="775"/>
      <c r="H178" s="1078" t="s">
        <v>405</v>
      </c>
      <c r="I178" s="1218">
        <v>110000</v>
      </c>
      <c r="J178" s="1067">
        <v>12</v>
      </c>
      <c r="K178" s="1066" t="s">
        <v>453</v>
      </c>
      <c r="L178" s="1066"/>
      <c r="M178" s="1219" t="s">
        <v>450</v>
      </c>
      <c r="N178" s="1220">
        <f t="shared" si="11"/>
        <v>1320000</v>
      </c>
      <c r="P178" s="539">
        <f t="shared" si="12"/>
        <v>1320000</v>
      </c>
      <c r="Q178" s="539">
        <f>IF($M178="법인전입금",$N178,0)</f>
        <v>0</v>
      </c>
      <c r="R178" s="539">
        <f t="shared" si="14"/>
        <v>0</v>
      </c>
      <c r="S178" s="539">
        <f t="shared" si="15"/>
        <v>0</v>
      </c>
      <c r="T178" s="539">
        <f t="shared" si="16"/>
        <v>0</v>
      </c>
      <c r="U178" s="539">
        <f t="shared" si="17"/>
        <v>0</v>
      </c>
      <c r="V178" s="539">
        <f t="shared" si="18"/>
        <v>0</v>
      </c>
    </row>
    <row r="179" spans="1:22" s="539" customFormat="1" ht="21" customHeight="1">
      <c r="A179" s="768"/>
      <c r="B179" s="768"/>
      <c r="C179" s="768"/>
      <c r="D179" s="775"/>
      <c r="E179" s="775"/>
      <c r="F179" s="775"/>
      <c r="G179" s="775"/>
      <c r="H179" s="1225" t="s">
        <v>447</v>
      </c>
      <c r="I179" s="1226">
        <v>150000</v>
      </c>
      <c r="J179" s="1072">
        <v>1</v>
      </c>
      <c r="K179" s="1000" t="s">
        <v>455</v>
      </c>
      <c r="L179" s="1000"/>
      <c r="M179" s="1227" t="s">
        <v>450</v>
      </c>
      <c r="N179" s="1228">
        <f t="shared" si="11"/>
        <v>150000</v>
      </c>
      <c r="P179" s="539">
        <f t="shared" si="12"/>
        <v>150000</v>
      </c>
      <c r="Q179" s="539">
        <f t="shared" ref="Q179:Q196" si="19">IF($M179="법인전입금",$N179,0)</f>
        <v>0</v>
      </c>
      <c r="R179" s="539">
        <f t="shared" si="14"/>
        <v>0</v>
      </c>
      <c r="S179" s="539">
        <f t="shared" si="15"/>
        <v>0</v>
      </c>
      <c r="T179" s="539">
        <f t="shared" si="16"/>
        <v>0</v>
      </c>
      <c r="U179" s="539">
        <f t="shared" si="17"/>
        <v>0</v>
      </c>
      <c r="V179" s="539">
        <f t="shared" si="18"/>
        <v>0</v>
      </c>
    </row>
    <row r="180" spans="1:22" s="539" customFormat="1" ht="21" customHeight="1">
      <c r="A180" s="768"/>
      <c r="B180" s="768"/>
      <c r="C180" s="768"/>
      <c r="D180" s="775"/>
      <c r="E180" s="775"/>
      <c r="F180" s="775"/>
      <c r="G180" s="775"/>
      <c r="H180" s="1078" t="s">
        <v>659</v>
      </c>
      <c r="I180" s="1218">
        <v>303730</v>
      </c>
      <c r="J180" s="1067">
        <v>1</v>
      </c>
      <c r="K180" s="1066" t="s">
        <v>456</v>
      </c>
      <c r="L180" s="1066"/>
      <c r="M180" s="1219" t="s">
        <v>459</v>
      </c>
      <c r="N180" s="1220">
        <f t="shared" si="11"/>
        <v>303730</v>
      </c>
      <c r="P180" s="539">
        <f t="shared" si="12"/>
        <v>0</v>
      </c>
      <c r="Q180" s="539">
        <f t="shared" si="19"/>
        <v>0</v>
      </c>
      <c r="R180" s="539">
        <f t="shared" si="14"/>
        <v>303730</v>
      </c>
      <c r="S180" s="539">
        <f t="shared" si="15"/>
        <v>0</v>
      </c>
      <c r="T180" s="539">
        <f t="shared" si="16"/>
        <v>0</v>
      </c>
      <c r="U180" s="539">
        <f t="shared" si="17"/>
        <v>0</v>
      </c>
      <c r="V180" s="539">
        <f t="shared" si="18"/>
        <v>0</v>
      </c>
    </row>
    <row r="181" spans="1:22" s="539" customFormat="1" ht="21" customHeight="1">
      <c r="A181" s="768"/>
      <c r="B181" s="768"/>
      <c r="C181" s="768"/>
      <c r="D181" s="775"/>
      <c r="E181" s="775"/>
      <c r="F181" s="775"/>
      <c r="G181" s="775"/>
      <c r="H181" s="1225" t="s">
        <v>457</v>
      </c>
      <c r="I181" s="1226">
        <v>150000</v>
      </c>
      <c r="J181" s="1072">
        <v>1</v>
      </c>
      <c r="K181" s="1000" t="s">
        <v>456</v>
      </c>
      <c r="L181" s="1000"/>
      <c r="M181" s="1227" t="s">
        <v>459</v>
      </c>
      <c r="N181" s="1220">
        <f t="shared" si="11"/>
        <v>150000</v>
      </c>
      <c r="P181" s="539">
        <f t="shared" si="12"/>
        <v>0</v>
      </c>
      <c r="Q181" s="539">
        <f t="shared" si="19"/>
        <v>0</v>
      </c>
      <c r="R181" s="539">
        <f t="shared" si="14"/>
        <v>150000</v>
      </c>
      <c r="S181" s="539">
        <f t="shared" si="15"/>
        <v>0</v>
      </c>
      <c r="T181" s="539">
        <f t="shared" si="16"/>
        <v>0</v>
      </c>
      <c r="U181" s="539">
        <f t="shared" si="17"/>
        <v>0</v>
      </c>
      <c r="V181" s="539">
        <f t="shared" si="18"/>
        <v>0</v>
      </c>
    </row>
    <row r="182" spans="1:22" s="539" customFormat="1" ht="21" customHeight="1">
      <c r="A182" s="768"/>
      <c r="B182" s="768"/>
      <c r="C182" s="768"/>
      <c r="D182" s="775"/>
      <c r="E182" s="775"/>
      <c r="F182" s="775"/>
      <c r="G182" s="775"/>
      <c r="H182" s="1078" t="s">
        <v>458</v>
      </c>
      <c r="I182" s="1218">
        <v>250000</v>
      </c>
      <c r="J182" s="1067">
        <v>1</v>
      </c>
      <c r="K182" s="1066" t="s">
        <v>455</v>
      </c>
      <c r="L182" s="1066"/>
      <c r="M182" s="1219" t="s">
        <v>33</v>
      </c>
      <c r="N182" s="1228">
        <f t="shared" si="11"/>
        <v>250000</v>
      </c>
      <c r="P182" s="539">
        <f t="shared" si="12"/>
        <v>250000</v>
      </c>
      <c r="Q182" s="539">
        <f t="shared" si="19"/>
        <v>0</v>
      </c>
      <c r="R182" s="539">
        <f t="shared" si="14"/>
        <v>0</v>
      </c>
      <c r="S182" s="539">
        <f t="shared" si="15"/>
        <v>0</v>
      </c>
      <c r="T182" s="539">
        <f t="shared" si="16"/>
        <v>0</v>
      </c>
      <c r="U182" s="539">
        <f t="shared" si="17"/>
        <v>0</v>
      </c>
      <c r="V182" s="539">
        <f t="shared" si="18"/>
        <v>0</v>
      </c>
    </row>
    <row r="183" spans="1:22" s="539" customFormat="1" ht="21" customHeight="1">
      <c r="A183" s="768"/>
      <c r="B183" s="768"/>
      <c r="C183" s="768"/>
      <c r="D183" s="775"/>
      <c r="E183" s="775"/>
      <c r="F183" s="775"/>
      <c r="G183" s="775"/>
      <c r="H183" s="1078" t="s">
        <v>620</v>
      </c>
      <c r="I183" s="1218">
        <v>550000</v>
      </c>
      <c r="J183" s="1067">
        <v>1</v>
      </c>
      <c r="K183" s="1066" t="s">
        <v>455</v>
      </c>
      <c r="L183" s="1066"/>
      <c r="M183" s="1219" t="s">
        <v>33</v>
      </c>
      <c r="N183" s="1220">
        <f t="shared" si="11"/>
        <v>550000</v>
      </c>
      <c r="P183" s="539">
        <f t="shared" si="12"/>
        <v>550000</v>
      </c>
      <c r="Q183" s="539">
        <f t="shared" si="19"/>
        <v>0</v>
      </c>
      <c r="R183" s="539">
        <f t="shared" si="14"/>
        <v>0</v>
      </c>
      <c r="S183" s="539">
        <f t="shared" si="15"/>
        <v>0</v>
      </c>
      <c r="T183" s="539">
        <f t="shared" si="16"/>
        <v>0</v>
      </c>
      <c r="U183" s="539">
        <f t="shared" si="17"/>
        <v>0</v>
      </c>
      <c r="V183" s="539">
        <f t="shared" si="18"/>
        <v>0</v>
      </c>
    </row>
    <row r="184" spans="1:22" s="539" customFormat="1" ht="21" customHeight="1">
      <c r="A184" s="768"/>
      <c r="B184" s="768"/>
      <c r="C184" s="768"/>
      <c r="D184" s="775"/>
      <c r="E184" s="775"/>
      <c r="F184" s="775"/>
      <c r="G184" s="775"/>
      <c r="H184" s="1078" t="s">
        <v>381</v>
      </c>
      <c r="I184" s="1218">
        <v>440000</v>
      </c>
      <c r="J184" s="1067">
        <v>1</v>
      </c>
      <c r="K184" s="1066" t="s">
        <v>455</v>
      </c>
      <c r="L184" s="1066"/>
      <c r="M184" s="1219" t="s">
        <v>33</v>
      </c>
      <c r="N184" s="1220">
        <f t="shared" si="11"/>
        <v>440000</v>
      </c>
      <c r="P184" s="539">
        <f t="shared" si="12"/>
        <v>440000</v>
      </c>
      <c r="Q184" s="539">
        <f t="shared" si="19"/>
        <v>0</v>
      </c>
      <c r="R184" s="539">
        <f t="shared" si="14"/>
        <v>0</v>
      </c>
      <c r="S184" s="539">
        <f t="shared" si="15"/>
        <v>0</v>
      </c>
      <c r="T184" s="539">
        <f t="shared" si="16"/>
        <v>0</v>
      </c>
      <c r="U184" s="539">
        <f t="shared" si="17"/>
        <v>0</v>
      </c>
      <c r="V184" s="539">
        <f t="shared" si="18"/>
        <v>0</v>
      </c>
    </row>
    <row r="185" spans="1:22" s="539" customFormat="1" ht="21" customHeight="1">
      <c r="A185" s="768"/>
      <c r="B185" s="768"/>
      <c r="C185" s="768"/>
      <c r="D185" s="775"/>
      <c r="E185" s="775"/>
      <c r="F185" s="775"/>
      <c r="G185" s="775"/>
      <c r="H185" s="1155" t="s">
        <v>382</v>
      </c>
      <c r="I185" s="1229">
        <v>120000</v>
      </c>
      <c r="J185" s="999">
        <v>12</v>
      </c>
      <c r="K185" s="998" t="s">
        <v>453</v>
      </c>
      <c r="L185" s="998"/>
      <c r="M185" s="1230" t="s">
        <v>33</v>
      </c>
      <c r="N185" s="1231">
        <f t="shared" si="11"/>
        <v>1440000</v>
      </c>
      <c r="P185" s="539">
        <f t="shared" si="12"/>
        <v>1440000</v>
      </c>
      <c r="Q185" s="539">
        <f t="shared" si="19"/>
        <v>0</v>
      </c>
      <c r="R185" s="539">
        <f t="shared" si="14"/>
        <v>0</v>
      </c>
      <c r="S185" s="539">
        <f t="shared" si="15"/>
        <v>0</v>
      </c>
      <c r="T185" s="539">
        <f t="shared" si="16"/>
        <v>0</v>
      </c>
      <c r="U185" s="539">
        <f t="shared" si="17"/>
        <v>0</v>
      </c>
      <c r="V185" s="539">
        <f t="shared" si="18"/>
        <v>0</v>
      </c>
    </row>
    <row r="186" spans="1:22" s="539" customFormat="1" ht="21" customHeight="1">
      <c r="A186" s="768"/>
      <c r="B186" s="768"/>
      <c r="C186" s="768"/>
      <c r="D186" s="775"/>
      <c r="E186" s="775"/>
      <c r="F186" s="775"/>
      <c r="G186" s="775"/>
      <c r="H186" s="1078" t="s">
        <v>729</v>
      </c>
      <c r="I186" s="1218">
        <v>1540000</v>
      </c>
      <c r="J186" s="1067">
        <v>1</v>
      </c>
      <c r="K186" s="1066" t="s">
        <v>455</v>
      </c>
      <c r="L186" s="1066"/>
      <c r="M186" s="1219" t="s">
        <v>33</v>
      </c>
      <c r="N186" s="1231">
        <f t="shared" si="11"/>
        <v>1540000</v>
      </c>
      <c r="P186" s="539">
        <f t="shared" si="12"/>
        <v>1540000</v>
      </c>
      <c r="Q186" s="539">
        <f t="shared" si="19"/>
        <v>0</v>
      </c>
      <c r="R186" s="539">
        <f t="shared" si="14"/>
        <v>0</v>
      </c>
      <c r="S186" s="539">
        <f t="shared" si="15"/>
        <v>0</v>
      </c>
      <c r="T186" s="539">
        <f t="shared" si="16"/>
        <v>0</v>
      </c>
      <c r="U186" s="539">
        <f t="shared" si="17"/>
        <v>0</v>
      </c>
      <c r="V186" s="539">
        <f t="shared" si="18"/>
        <v>0</v>
      </c>
    </row>
    <row r="187" spans="1:22" s="539" customFormat="1" ht="21" customHeight="1">
      <c r="A187" s="768"/>
      <c r="B187" s="768"/>
      <c r="C187" s="768"/>
      <c r="D187" s="775"/>
      <c r="E187" s="775"/>
      <c r="F187" s="775"/>
      <c r="G187" s="775"/>
      <c r="H187" s="1225" t="s">
        <v>445</v>
      </c>
      <c r="I187" s="1226">
        <v>200000</v>
      </c>
      <c r="J187" s="1072">
        <v>2</v>
      </c>
      <c r="K187" s="1000" t="s">
        <v>455</v>
      </c>
      <c r="L187" s="1000"/>
      <c r="M187" s="1227" t="s">
        <v>33</v>
      </c>
      <c r="N187" s="1231">
        <f t="shared" si="11"/>
        <v>400000</v>
      </c>
      <c r="P187" s="539">
        <f t="shared" si="12"/>
        <v>400000</v>
      </c>
      <c r="Q187" s="539">
        <f t="shared" si="19"/>
        <v>0</v>
      </c>
      <c r="R187" s="539">
        <f t="shared" si="14"/>
        <v>0</v>
      </c>
      <c r="S187" s="539">
        <f t="shared" si="15"/>
        <v>0</v>
      </c>
      <c r="T187" s="539">
        <f t="shared" si="16"/>
        <v>0</v>
      </c>
      <c r="U187" s="539">
        <f t="shared" si="17"/>
        <v>0</v>
      </c>
      <c r="V187" s="539">
        <f t="shared" si="18"/>
        <v>0</v>
      </c>
    </row>
    <row r="188" spans="1:22" s="539" customFormat="1" ht="21" customHeight="1">
      <c r="A188" s="768"/>
      <c r="B188" s="768"/>
      <c r="C188" s="768"/>
      <c r="D188" s="775"/>
      <c r="E188" s="775"/>
      <c r="F188" s="775"/>
      <c r="G188" s="775"/>
      <c r="H188" s="1078" t="s">
        <v>461</v>
      </c>
      <c r="I188" s="1218">
        <v>58080</v>
      </c>
      <c r="J188" s="1067">
        <v>1</v>
      </c>
      <c r="K188" s="1066" t="s">
        <v>455</v>
      </c>
      <c r="L188" s="1066"/>
      <c r="M188" s="1219" t="s">
        <v>33</v>
      </c>
      <c r="N188" s="1228">
        <f>I188*J188</f>
        <v>58080</v>
      </c>
      <c r="P188" s="539">
        <f t="shared" si="12"/>
        <v>58080</v>
      </c>
      <c r="Q188" s="539">
        <f t="shared" si="19"/>
        <v>0</v>
      </c>
      <c r="R188" s="539">
        <f t="shared" si="14"/>
        <v>0</v>
      </c>
      <c r="S188" s="539">
        <f t="shared" si="15"/>
        <v>0</v>
      </c>
      <c r="T188" s="539">
        <f t="shared" si="16"/>
        <v>0</v>
      </c>
      <c r="U188" s="539">
        <f t="shared" si="17"/>
        <v>0</v>
      </c>
      <c r="V188" s="539">
        <f t="shared" si="18"/>
        <v>0</v>
      </c>
    </row>
    <row r="189" spans="1:22" s="539" customFormat="1" ht="21" customHeight="1">
      <c r="A189" s="768"/>
      <c r="B189" s="768"/>
      <c r="C189" s="768"/>
      <c r="D189" s="775"/>
      <c r="E189" s="775"/>
      <c r="F189" s="775"/>
      <c r="G189" s="775"/>
      <c r="H189" s="1570" t="s">
        <v>462</v>
      </c>
      <c r="I189" s="1221">
        <v>483300</v>
      </c>
      <c r="J189" s="1063">
        <v>10</v>
      </c>
      <c r="K189" s="1001" t="s">
        <v>453</v>
      </c>
      <c r="L189" s="1001"/>
      <c r="M189" s="1222" t="s">
        <v>33</v>
      </c>
      <c r="N189" s="1232">
        <f t="shared" si="11"/>
        <v>4833000</v>
      </c>
      <c r="P189" s="539">
        <f t="shared" si="12"/>
        <v>4833000</v>
      </c>
      <c r="Q189" s="539">
        <f t="shared" si="19"/>
        <v>0</v>
      </c>
      <c r="R189" s="539">
        <f t="shared" si="14"/>
        <v>0</v>
      </c>
      <c r="S189" s="539">
        <f t="shared" si="15"/>
        <v>0</v>
      </c>
      <c r="T189" s="539">
        <f t="shared" si="16"/>
        <v>0</v>
      </c>
      <c r="U189" s="539">
        <f t="shared" si="17"/>
        <v>0</v>
      </c>
      <c r="V189" s="539">
        <f t="shared" si="18"/>
        <v>0</v>
      </c>
    </row>
    <row r="190" spans="1:22" s="539" customFormat="1" ht="21" customHeight="1">
      <c r="A190" s="768"/>
      <c r="B190" s="768"/>
      <c r="C190" s="768"/>
      <c r="D190" s="775"/>
      <c r="E190" s="775"/>
      <c r="F190" s="775"/>
      <c r="G190" s="775"/>
      <c r="H190" s="1599"/>
      <c r="I190" s="1233">
        <v>50000</v>
      </c>
      <c r="J190" s="1180">
        <v>5</v>
      </c>
      <c r="K190" s="1178" t="s">
        <v>455</v>
      </c>
      <c r="L190" s="1178"/>
      <c r="M190" s="1234" t="s">
        <v>126</v>
      </c>
      <c r="N190" s="1235">
        <f t="shared" si="11"/>
        <v>250000</v>
      </c>
      <c r="P190" s="539">
        <f t="shared" si="12"/>
        <v>0</v>
      </c>
      <c r="Q190" s="539">
        <f t="shared" si="19"/>
        <v>250000</v>
      </c>
      <c r="R190" s="539">
        <f t="shared" si="14"/>
        <v>0</v>
      </c>
      <c r="S190" s="539">
        <f t="shared" si="15"/>
        <v>0</v>
      </c>
      <c r="T190" s="539">
        <f t="shared" si="16"/>
        <v>0</v>
      </c>
      <c r="U190" s="539">
        <f t="shared" si="17"/>
        <v>0</v>
      </c>
      <c r="V190" s="539">
        <f t="shared" si="18"/>
        <v>0</v>
      </c>
    </row>
    <row r="191" spans="1:22" s="539" customFormat="1" ht="21" customHeight="1">
      <c r="A191" s="768"/>
      <c r="B191" s="768"/>
      <c r="C191" s="768"/>
      <c r="D191" s="775"/>
      <c r="E191" s="775"/>
      <c r="F191" s="775"/>
      <c r="G191" s="775"/>
      <c r="H191" s="1571"/>
      <c r="I191" s="1236">
        <v>495365</v>
      </c>
      <c r="J191" s="1061">
        <v>1</v>
      </c>
      <c r="K191" s="1060" t="s">
        <v>455</v>
      </c>
      <c r="L191" s="1060"/>
      <c r="M191" s="1237" t="s">
        <v>209</v>
      </c>
      <c r="N191" s="1238">
        <f t="shared" si="11"/>
        <v>495365</v>
      </c>
      <c r="P191" s="539">
        <f t="shared" si="12"/>
        <v>0</v>
      </c>
      <c r="Q191" s="539">
        <f t="shared" si="19"/>
        <v>0</v>
      </c>
      <c r="R191" s="539">
        <f t="shared" si="14"/>
        <v>0</v>
      </c>
      <c r="S191" s="539">
        <f t="shared" si="15"/>
        <v>0</v>
      </c>
      <c r="T191" s="539">
        <f t="shared" si="16"/>
        <v>495365</v>
      </c>
      <c r="U191" s="539">
        <f t="shared" si="17"/>
        <v>0</v>
      </c>
      <c r="V191" s="539">
        <f t="shared" si="18"/>
        <v>0</v>
      </c>
    </row>
    <row r="192" spans="1:22" s="539" customFormat="1" ht="21" customHeight="1">
      <c r="A192" s="768"/>
      <c r="B192" s="768"/>
      <c r="C192" s="768"/>
      <c r="D192" s="775"/>
      <c r="E192" s="775"/>
      <c r="F192" s="775"/>
      <c r="G192" s="775"/>
      <c r="H192" s="1078" t="s">
        <v>711</v>
      </c>
      <c r="I192" s="1218">
        <v>495000</v>
      </c>
      <c r="J192" s="1067">
        <v>1</v>
      </c>
      <c r="K192" s="1066" t="s">
        <v>455</v>
      </c>
      <c r="L192" s="1066"/>
      <c r="M192" s="1239" t="s">
        <v>459</v>
      </c>
      <c r="N192" s="1220">
        <f t="shared" si="11"/>
        <v>495000</v>
      </c>
      <c r="P192" s="539">
        <f t="shared" si="12"/>
        <v>0</v>
      </c>
      <c r="Q192" s="539">
        <f t="shared" si="19"/>
        <v>0</v>
      </c>
      <c r="R192" s="539">
        <f t="shared" si="14"/>
        <v>495000</v>
      </c>
      <c r="S192" s="539">
        <f t="shared" si="15"/>
        <v>0</v>
      </c>
      <c r="T192" s="539">
        <f t="shared" si="16"/>
        <v>0</v>
      </c>
      <c r="U192" s="539">
        <f t="shared" si="17"/>
        <v>0</v>
      </c>
      <c r="V192" s="539">
        <f t="shared" si="18"/>
        <v>0</v>
      </c>
    </row>
    <row r="193" spans="1:22" s="539" customFormat="1" ht="21" customHeight="1">
      <c r="A193" s="768"/>
      <c r="B193" s="768"/>
      <c r="C193" s="768"/>
      <c r="D193" s="775"/>
      <c r="E193" s="775"/>
      <c r="F193" s="775"/>
      <c r="G193" s="775"/>
      <c r="H193" s="1078" t="s">
        <v>712</v>
      </c>
      <c r="I193" s="1218">
        <v>672100</v>
      </c>
      <c r="J193" s="1067">
        <v>1</v>
      </c>
      <c r="K193" s="1066" t="s">
        <v>455</v>
      </c>
      <c r="L193" s="1066"/>
      <c r="M193" s="1239" t="s">
        <v>459</v>
      </c>
      <c r="N193" s="1220">
        <f t="shared" ref="N193:N195" si="20">I193*J193</f>
        <v>672100</v>
      </c>
      <c r="P193" s="539">
        <f t="shared" si="12"/>
        <v>0</v>
      </c>
      <c r="Q193" s="539">
        <f t="shared" si="19"/>
        <v>0</v>
      </c>
      <c r="R193" s="539">
        <f t="shared" si="14"/>
        <v>672100</v>
      </c>
      <c r="S193" s="539">
        <f t="shared" si="15"/>
        <v>0</v>
      </c>
      <c r="T193" s="539">
        <f t="shared" si="16"/>
        <v>0</v>
      </c>
      <c r="U193" s="539">
        <f t="shared" si="17"/>
        <v>0</v>
      </c>
      <c r="V193" s="539">
        <f t="shared" si="18"/>
        <v>0</v>
      </c>
    </row>
    <row r="194" spans="1:22" s="539" customFormat="1" ht="21" customHeight="1">
      <c r="A194" s="768"/>
      <c r="B194" s="768"/>
      <c r="C194" s="768"/>
      <c r="D194" s="775"/>
      <c r="E194" s="775"/>
      <c r="F194" s="775"/>
      <c r="G194" s="775"/>
      <c r="H194" s="1078" t="s">
        <v>730</v>
      </c>
      <c r="I194" s="1218">
        <v>1167000</v>
      </c>
      <c r="J194" s="1067">
        <v>1</v>
      </c>
      <c r="K194" s="1066" t="s">
        <v>455</v>
      </c>
      <c r="L194" s="1066"/>
      <c r="M194" s="1239" t="s">
        <v>33</v>
      </c>
      <c r="N194" s="1220">
        <f t="shared" si="20"/>
        <v>1167000</v>
      </c>
      <c r="P194" s="539">
        <f t="shared" si="12"/>
        <v>1167000</v>
      </c>
      <c r="Q194" s="539">
        <f t="shared" si="19"/>
        <v>0</v>
      </c>
      <c r="R194" s="539">
        <f t="shared" si="14"/>
        <v>0</v>
      </c>
      <c r="S194" s="539">
        <f t="shared" si="15"/>
        <v>0</v>
      </c>
      <c r="T194" s="539">
        <f t="shared" si="16"/>
        <v>0</v>
      </c>
      <c r="U194" s="539">
        <f t="shared" si="17"/>
        <v>0</v>
      </c>
      <c r="V194" s="539">
        <f t="shared" si="18"/>
        <v>0</v>
      </c>
    </row>
    <row r="195" spans="1:22" s="539" customFormat="1" ht="21" customHeight="1">
      <c r="A195" s="768"/>
      <c r="B195" s="768"/>
      <c r="C195" s="768"/>
      <c r="D195" s="775"/>
      <c r="E195" s="775"/>
      <c r="F195" s="775"/>
      <c r="G195" s="775"/>
      <c r="H195" s="1078" t="s">
        <v>463</v>
      </c>
      <c r="I195" s="1218">
        <v>50000</v>
      </c>
      <c r="J195" s="1067">
        <v>12</v>
      </c>
      <c r="K195" s="1066" t="s">
        <v>455</v>
      </c>
      <c r="L195" s="1066"/>
      <c r="M195" s="1239" t="s">
        <v>209</v>
      </c>
      <c r="N195" s="1220">
        <f t="shared" si="20"/>
        <v>600000</v>
      </c>
      <c r="P195" s="539">
        <f t="shared" si="12"/>
        <v>0</v>
      </c>
      <c r="Q195" s="539">
        <f t="shared" si="19"/>
        <v>0</v>
      </c>
      <c r="R195" s="539">
        <f t="shared" si="14"/>
        <v>0</v>
      </c>
      <c r="S195" s="539">
        <f t="shared" si="15"/>
        <v>0</v>
      </c>
      <c r="T195" s="539">
        <f t="shared" si="16"/>
        <v>600000</v>
      </c>
      <c r="U195" s="539">
        <f t="shared" si="17"/>
        <v>0</v>
      </c>
      <c r="V195" s="539">
        <f t="shared" si="18"/>
        <v>0</v>
      </c>
    </row>
    <row r="196" spans="1:22" s="539" customFormat="1" ht="21" customHeight="1" thickBot="1">
      <c r="A196" s="768"/>
      <c r="B196" s="768"/>
      <c r="C196" s="768"/>
      <c r="D196" s="775"/>
      <c r="E196" s="775"/>
      <c r="F196" s="775"/>
      <c r="G196" s="775"/>
      <c r="H196" s="1225" t="s">
        <v>660</v>
      </c>
      <c r="I196" s="1226">
        <v>81000</v>
      </c>
      <c r="J196" s="1072">
        <v>1</v>
      </c>
      <c r="K196" s="1000" t="s">
        <v>453</v>
      </c>
      <c r="L196" s="1000"/>
      <c r="M196" s="1234" t="s">
        <v>459</v>
      </c>
      <c r="N196" s="1228">
        <f t="shared" si="11"/>
        <v>81000</v>
      </c>
      <c r="P196" s="539">
        <f t="shared" si="12"/>
        <v>0</v>
      </c>
      <c r="Q196" s="539">
        <f t="shared" si="19"/>
        <v>0</v>
      </c>
      <c r="R196" s="539">
        <f t="shared" si="14"/>
        <v>81000</v>
      </c>
      <c r="S196" s="539">
        <f t="shared" si="15"/>
        <v>0</v>
      </c>
      <c r="T196" s="539">
        <f t="shared" si="16"/>
        <v>0</v>
      </c>
      <c r="U196" s="539">
        <f t="shared" si="17"/>
        <v>0</v>
      </c>
      <c r="V196" s="539">
        <f t="shared" si="18"/>
        <v>0</v>
      </c>
    </row>
    <row r="197" spans="1:22" s="540" customFormat="1" ht="21" customHeight="1" thickBot="1">
      <c r="A197" s="768"/>
      <c r="B197" s="768"/>
      <c r="C197" s="570" t="s">
        <v>190</v>
      </c>
      <c r="D197" s="766">
        <v>65009400</v>
      </c>
      <c r="E197" s="570">
        <v>69728941</v>
      </c>
      <c r="F197" s="578">
        <f>N197</f>
        <v>64714141</v>
      </c>
      <c r="G197" s="570">
        <f>F197-E197</f>
        <v>-5014800</v>
      </c>
      <c r="H197" s="1084" t="s">
        <v>190</v>
      </c>
      <c r="I197" s="1085"/>
      <c r="J197" s="1086"/>
      <c r="K197" s="1086"/>
      <c r="L197" s="1240"/>
      <c r="M197" s="1241"/>
      <c r="N197" s="1050">
        <f>SUM(N198:N218)</f>
        <v>64714141</v>
      </c>
      <c r="P197" s="541">
        <f t="shared" ref="P197:V197" si="21">SUM(P198:P218)</f>
        <v>36669000</v>
      </c>
      <c r="Q197" s="541">
        <f t="shared" si="21"/>
        <v>4725200</v>
      </c>
      <c r="R197" s="541">
        <f t="shared" si="21"/>
        <v>4000000</v>
      </c>
      <c r="S197" s="541">
        <f t="shared" si="21"/>
        <v>10898687</v>
      </c>
      <c r="T197" s="541">
        <f t="shared" si="21"/>
        <v>8421254</v>
      </c>
      <c r="U197" s="541">
        <f t="shared" si="21"/>
        <v>0</v>
      </c>
      <c r="V197" s="541">
        <f t="shared" si="21"/>
        <v>0</v>
      </c>
    </row>
    <row r="198" spans="1:22" s="540" customFormat="1" ht="21" customHeight="1">
      <c r="A198" s="768"/>
      <c r="B198" s="768"/>
      <c r="C198" s="768"/>
      <c r="D198" s="775"/>
      <c r="E198" s="775"/>
      <c r="F198" s="775"/>
      <c r="G198" s="768"/>
      <c r="H198" s="1214" t="s">
        <v>383</v>
      </c>
      <c r="I198" s="1215">
        <v>120000</v>
      </c>
      <c r="J198" s="1242">
        <v>12</v>
      </c>
      <c r="K198" s="1001" t="s">
        <v>453</v>
      </c>
      <c r="L198" s="1118"/>
      <c r="M198" s="1216" t="s">
        <v>33</v>
      </c>
      <c r="N198" s="1217">
        <f t="shared" ref="N198:N218" si="22">I198*J198</f>
        <v>1440000</v>
      </c>
      <c r="P198" s="539">
        <f t="shared" si="12"/>
        <v>1440000</v>
      </c>
      <c r="Q198" s="539">
        <f t="shared" ref="Q198:Q218" si="23">IF($M198="법인전입금",$N198,0)</f>
        <v>0</v>
      </c>
      <c r="R198" s="539">
        <f t="shared" si="14"/>
        <v>0</v>
      </c>
      <c r="S198" s="539">
        <f t="shared" si="15"/>
        <v>0</v>
      </c>
      <c r="T198" s="539">
        <f t="shared" si="16"/>
        <v>0</v>
      </c>
      <c r="U198" s="539">
        <f t="shared" si="17"/>
        <v>0</v>
      </c>
      <c r="V198" s="539">
        <f t="shared" si="18"/>
        <v>0</v>
      </c>
    </row>
    <row r="199" spans="1:22" s="540" customFormat="1" ht="21" customHeight="1">
      <c r="A199" s="768"/>
      <c r="B199" s="768"/>
      <c r="C199" s="768"/>
      <c r="D199" s="775"/>
      <c r="E199" s="775"/>
      <c r="F199" s="775"/>
      <c r="G199" s="768"/>
      <c r="H199" s="1065" t="s">
        <v>384</v>
      </c>
      <c r="I199" s="1218">
        <v>700000</v>
      </c>
      <c r="J199" s="1067">
        <v>12</v>
      </c>
      <c r="K199" s="1066" t="s">
        <v>453</v>
      </c>
      <c r="L199" s="1066"/>
      <c r="M199" s="1219" t="s">
        <v>33</v>
      </c>
      <c r="N199" s="1220">
        <f t="shared" si="22"/>
        <v>8400000</v>
      </c>
      <c r="P199" s="539">
        <f t="shared" si="12"/>
        <v>8400000</v>
      </c>
      <c r="Q199" s="539">
        <f t="shared" si="23"/>
        <v>0</v>
      </c>
      <c r="R199" s="539">
        <f t="shared" si="14"/>
        <v>0</v>
      </c>
      <c r="S199" s="539">
        <f t="shared" si="15"/>
        <v>0</v>
      </c>
      <c r="T199" s="539">
        <f t="shared" si="16"/>
        <v>0</v>
      </c>
      <c r="U199" s="539">
        <f t="shared" si="17"/>
        <v>0</v>
      </c>
      <c r="V199" s="539">
        <f t="shared" si="18"/>
        <v>0</v>
      </c>
    </row>
    <row r="200" spans="1:22" s="540" customFormat="1" ht="21" customHeight="1">
      <c r="A200" s="768"/>
      <c r="B200" s="768"/>
      <c r="C200" s="768"/>
      <c r="D200" s="775"/>
      <c r="E200" s="775"/>
      <c r="F200" s="775"/>
      <c r="G200" s="768"/>
      <c r="H200" s="1570" t="s">
        <v>385</v>
      </c>
      <c r="I200" s="1221">
        <v>980000</v>
      </c>
      <c r="J200" s="1063">
        <v>9</v>
      </c>
      <c r="K200" s="1001" t="s">
        <v>453</v>
      </c>
      <c r="L200" s="1001"/>
      <c r="M200" s="1222" t="s">
        <v>33</v>
      </c>
      <c r="N200" s="1217">
        <f t="shared" si="22"/>
        <v>8820000</v>
      </c>
      <c r="P200" s="539">
        <f t="shared" si="12"/>
        <v>8820000</v>
      </c>
      <c r="Q200" s="539">
        <f t="shared" si="23"/>
        <v>0</v>
      </c>
      <c r="R200" s="539">
        <f t="shared" si="14"/>
        <v>0</v>
      </c>
      <c r="S200" s="539">
        <f t="shared" si="15"/>
        <v>0</v>
      </c>
      <c r="T200" s="539">
        <f t="shared" si="16"/>
        <v>0</v>
      </c>
      <c r="U200" s="539">
        <f t="shared" si="17"/>
        <v>0</v>
      </c>
      <c r="V200" s="539">
        <f t="shared" si="18"/>
        <v>0</v>
      </c>
    </row>
    <row r="201" spans="1:22" s="540" customFormat="1" ht="21" customHeight="1">
      <c r="A201" s="768"/>
      <c r="B201" s="768"/>
      <c r="C201" s="768"/>
      <c r="D201" s="775"/>
      <c r="E201" s="775"/>
      <c r="F201" s="775"/>
      <c r="G201" s="768"/>
      <c r="H201" s="1599"/>
      <c r="I201" s="1221">
        <v>6056257</v>
      </c>
      <c r="J201" s="1063">
        <v>1</v>
      </c>
      <c r="K201" s="1001" t="s">
        <v>467</v>
      </c>
      <c r="L201" s="1001" t="s">
        <v>680</v>
      </c>
      <c r="M201" s="1001" t="s">
        <v>208</v>
      </c>
      <c r="N201" s="1217">
        <f t="shared" si="22"/>
        <v>6056257</v>
      </c>
      <c r="P201" s="539">
        <f t="shared" si="12"/>
        <v>0</v>
      </c>
      <c r="Q201" s="539">
        <f t="shared" si="23"/>
        <v>0</v>
      </c>
      <c r="R201" s="539">
        <f t="shared" si="14"/>
        <v>0</v>
      </c>
      <c r="S201" s="539">
        <f t="shared" si="15"/>
        <v>6056257</v>
      </c>
      <c r="T201" s="539">
        <f t="shared" si="16"/>
        <v>0</v>
      </c>
      <c r="U201" s="539">
        <f t="shared" si="17"/>
        <v>0</v>
      </c>
      <c r="V201" s="539">
        <f t="shared" si="18"/>
        <v>0</v>
      </c>
    </row>
    <row r="202" spans="1:22" s="540" customFormat="1" ht="21" customHeight="1">
      <c r="A202" s="768"/>
      <c r="B202" s="768"/>
      <c r="C202" s="768"/>
      <c r="D202" s="775"/>
      <c r="E202" s="775"/>
      <c r="F202" s="775"/>
      <c r="G202" s="768"/>
      <c r="H202" s="1599"/>
      <c r="I202" s="1221">
        <v>1800000</v>
      </c>
      <c r="J202" s="1063">
        <v>1</v>
      </c>
      <c r="K202" s="1001" t="s">
        <v>467</v>
      </c>
      <c r="L202" s="1001"/>
      <c r="M202" s="1001" t="s">
        <v>209</v>
      </c>
      <c r="N202" s="1217">
        <f t="shared" ref="N202:N203" si="24">I202*J202</f>
        <v>1800000</v>
      </c>
      <c r="P202" s="539">
        <f t="shared" si="12"/>
        <v>0</v>
      </c>
      <c r="Q202" s="539">
        <f t="shared" si="23"/>
        <v>0</v>
      </c>
      <c r="R202" s="539">
        <f t="shared" si="14"/>
        <v>0</v>
      </c>
      <c r="S202" s="539">
        <f t="shared" si="15"/>
        <v>0</v>
      </c>
      <c r="T202" s="539">
        <f t="shared" si="16"/>
        <v>1800000</v>
      </c>
      <c r="U202" s="539">
        <f t="shared" si="17"/>
        <v>0</v>
      </c>
      <c r="V202" s="539">
        <f t="shared" si="18"/>
        <v>0</v>
      </c>
    </row>
    <row r="203" spans="1:22" s="540" customFormat="1" ht="21" customHeight="1">
      <c r="A203" s="768"/>
      <c r="B203" s="768"/>
      <c r="C203" s="768"/>
      <c r="D203" s="775"/>
      <c r="E203" s="775"/>
      <c r="F203" s="775"/>
      <c r="G203" s="768"/>
      <c r="H203" s="1599"/>
      <c r="I203" s="1221">
        <v>1300000</v>
      </c>
      <c r="J203" s="1063">
        <v>1</v>
      </c>
      <c r="K203" s="1001" t="s">
        <v>467</v>
      </c>
      <c r="L203" s="1001"/>
      <c r="M203" s="1243" t="s">
        <v>459</v>
      </c>
      <c r="N203" s="1217">
        <f t="shared" si="24"/>
        <v>1300000</v>
      </c>
      <c r="P203" s="539">
        <f t="shared" si="12"/>
        <v>0</v>
      </c>
      <c r="Q203" s="539">
        <f t="shared" si="23"/>
        <v>0</v>
      </c>
      <c r="R203" s="539">
        <f t="shared" si="14"/>
        <v>1300000</v>
      </c>
      <c r="S203" s="539">
        <f t="shared" si="15"/>
        <v>0</v>
      </c>
      <c r="T203" s="539">
        <f t="shared" si="16"/>
        <v>0</v>
      </c>
      <c r="U203" s="539">
        <f t="shared" si="17"/>
        <v>0</v>
      </c>
      <c r="V203" s="539">
        <f t="shared" si="18"/>
        <v>0</v>
      </c>
    </row>
    <row r="204" spans="1:22" s="540" customFormat="1" ht="21" customHeight="1">
      <c r="A204" s="768"/>
      <c r="B204" s="768"/>
      <c r="C204" s="768"/>
      <c r="D204" s="775"/>
      <c r="E204" s="775"/>
      <c r="F204" s="775"/>
      <c r="G204" s="768"/>
      <c r="H204" s="1571"/>
      <c r="I204" s="1221">
        <v>2025200</v>
      </c>
      <c r="J204" s="1063">
        <v>1</v>
      </c>
      <c r="K204" s="1001" t="s">
        <v>453</v>
      </c>
      <c r="L204" s="1001"/>
      <c r="M204" s="1222" t="s">
        <v>126</v>
      </c>
      <c r="N204" s="1217">
        <f t="shared" si="22"/>
        <v>2025200</v>
      </c>
      <c r="P204" s="539">
        <f t="shared" si="12"/>
        <v>0</v>
      </c>
      <c r="Q204" s="539">
        <f t="shared" si="23"/>
        <v>2025200</v>
      </c>
      <c r="R204" s="539">
        <f t="shared" si="14"/>
        <v>0</v>
      </c>
      <c r="S204" s="539">
        <f t="shared" si="15"/>
        <v>0</v>
      </c>
      <c r="T204" s="539">
        <f t="shared" si="16"/>
        <v>0</v>
      </c>
      <c r="U204" s="539">
        <f t="shared" si="17"/>
        <v>0</v>
      </c>
      <c r="V204" s="539">
        <f t="shared" si="18"/>
        <v>0</v>
      </c>
    </row>
    <row r="205" spans="1:22" s="540" customFormat="1" ht="21" customHeight="1">
      <c r="A205" s="768"/>
      <c r="B205" s="768"/>
      <c r="C205" s="768"/>
      <c r="D205" s="775"/>
      <c r="E205" s="775"/>
      <c r="F205" s="775"/>
      <c r="G205" s="768"/>
      <c r="H205" s="1570" t="s">
        <v>386</v>
      </c>
      <c r="I205" s="1223">
        <v>980000</v>
      </c>
      <c r="J205" s="1054">
        <v>9</v>
      </c>
      <c r="K205" s="1053" t="s">
        <v>453</v>
      </c>
      <c r="L205" s="1053"/>
      <c r="M205" s="1224" t="s">
        <v>33</v>
      </c>
      <c r="N205" s="1232">
        <f t="shared" si="22"/>
        <v>8820000</v>
      </c>
      <c r="P205" s="539">
        <f t="shared" si="12"/>
        <v>8820000</v>
      </c>
      <c r="Q205" s="539">
        <f t="shared" si="23"/>
        <v>0</v>
      </c>
      <c r="R205" s="539">
        <f t="shared" si="14"/>
        <v>0</v>
      </c>
      <c r="S205" s="539">
        <f t="shared" si="15"/>
        <v>0</v>
      </c>
      <c r="T205" s="539">
        <f t="shared" si="16"/>
        <v>0</v>
      </c>
      <c r="U205" s="539">
        <f t="shared" si="17"/>
        <v>0</v>
      </c>
      <c r="V205" s="539">
        <f t="shared" si="18"/>
        <v>0</v>
      </c>
    </row>
    <row r="206" spans="1:22" s="540" customFormat="1" ht="21" customHeight="1">
      <c r="A206" s="768"/>
      <c r="B206" s="768"/>
      <c r="C206" s="768"/>
      <c r="D206" s="775"/>
      <c r="E206" s="775"/>
      <c r="F206" s="775"/>
      <c r="G206" s="768"/>
      <c r="H206" s="1599"/>
      <c r="I206" s="1233">
        <v>1300000</v>
      </c>
      <c r="J206" s="1180">
        <v>1</v>
      </c>
      <c r="K206" s="1178" t="s">
        <v>467</v>
      </c>
      <c r="L206" s="1178"/>
      <c r="M206" s="1234" t="s">
        <v>459</v>
      </c>
      <c r="N206" s="1235">
        <f t="shared" si="22"/>
        <v>1300000</v>
      </c>
      <c r="P206" s="539">
        <f t="shared" si="12"/>
        <v>0</v>
      </c>
      <c r="Q206" s="539">
        <f t="shared" si="23"/>
        <v>0</v>
      </c>
      <c r="R206" s="539">
        <f t="shared" si="14"/>
        <v>1300000</v>
      </c>
      <c r="S206" s="539">
        <f t="shared" si="15"/>
        <v>0</v>
      </c>
      <c r="T206" s="539">
        <f t="shared" si="16"/>
        <v>0</v>
      </c>
      <c r="U206" s="539">
        <f t="shared" si="17"/>
        <v>0</v>
      </c>
      <c r="V206" s="539">
        <f t="shared" si="18"/>
        <v>0</v>
      </c>
    </row>
    <row r="207" spans="1:22" s="540" customFormat="1" ht="21" customHeight="1">
      <c r="A207" s="768"/>
      <c r="B207" s="768"/>
      <c r="C207" s="768"/>
      <c r="D207" s="775"/>
      <c r="E207" s="775"/>
      <c r="F207" s="775"/>
      <c r="G207" s="768"/>
      <c r="H207" s="1599"/>
      <c r="I207" s="1244">
        <v>1300000</v>
      </c>
      <c r="J207" s="1057">
        <v>1</v>
      </c>
      <c r="K207" s="1056" t="s">
        <v>467</v>
      </c>
      <c r="L207" s="1056"/>
      <c r="M207" s="1245" t="s">
        <v>126</v>
      </c>
      <c r="N207" s="1246">
        <f t="shared" si="22"/>
        <v>1300000</v>
      </c>
      <c r="P207" s="539">
        <f t="shared" si="12"/>
        <v>0</v>
      </c>
      <c r="Q207" s="539">
        <f t="shared" si="23"/>
        <v>1300000</v>
      </c>
      <c r="R207" s="539">
        <f t="shared" si="14"/>
        <v>0</v>
      </c>
      <c r="S207" s="539">
        <f t="shared" si="15"/>
        <v>0</v>
      </c>
      <c r="T207" s="539">
        <f t="shared" si="16"/>
        <v>0</v>
      </c>
      <c r="U207" s="539">
        <f t="shared" si="17"/>
        <v>0</v>
      </c>
      <c r="V207" s="539">
        <f t="shared" si="18"/>
        <v>0</v>
      </c>
    </row>
    <row r="208" spans="1:22" s="540" customFormat="1" ht="21" customHeight="1">
      <c r="A208" s="768"/>
      <c r="B208" s="768"/>
      <c r="C208" s="768"/>
      <c r="D208" s="775"/>
      <c r="E208" s="775"/>
      <c r="F208" s="775"/>
      <c r="G208" s="768"/>
      <c r="H208" s="1599"/>
      <c r="I208" s="1244">
        <f>3554084+67170</f>
        <v>3621254</v>
      </c>
      <c r="J208" s="1057">
        <v>1</v>
      </c>
      <c r="K208" s="1056" t="s">
        <v>467</v>
      </c>
      <c r="L208" s="1056"/>
      <c r="M208" s="1245" t="s">
        <v>209</v>
      </c>
      <c r="N208" s="1246">
        <f t="shared" si="22"/>
        <v>3621254</v>
      </c>
      <c r="P208" s="539">
        <f t="shared" si="12"/>
        <v>0</v>
      </c>
      <c r="Q208" s="539">
        <f t="shared" si="23"/>
        <v>0</v>
      </c>
      <c r="R208" s="539">
        <f t="shared" si="14"/>
        <v>0</v>
      </c>
      <c r="S208" s="539">
        <f t="shared" si="15"/>
        <v>0</v>
      </c>
      <c r="T208" s="539">
        <f t="shared" si="16"/>
        <v>3621254</v>
      </c>
      <c r="U208" s="539">
        <f t="shared" si="17"/>
        <v>0</v>
      </c>
      <c r="V208" s="539">
        <f t="shared" si="18"/>
        <v>0</v>
      </c>
    </row>
    <row r="209" spans="1:22" s="540" customFormat="1" ht="21" customHeight="1">
      <c r="A209" s="768"/>
      <c r="B209" s="768"/>
      <c r="C209" s="768"/>
      <c r="D209" s="775"/>
      <c r="E209" s="775"/>
      <c r="F209" s="775"/>
      <c r="G209" s="768"/>
      <c r="H209" s="1571"/>
      <c r="I209" s="1236">
        <v>1300000</v>
      </c>
      <c r="J209" s="1061">
        <v>1</v>
      </c>
      <c r="K209" s="1060" t="s">
        <v>467</v>
      </c>
      <c r="L209" s="1060"/>
      <c r="M209" s="1237" t="s">
        <v>208</v>
      </c>
      <c r="N209" s="1238">
        <f t="shared" si="22"/>
        <v>1300000</v>
      </c>
      <c r="P209" s="539">
        <f t="shared" si="12"/>
        <v>0</v>
      </c>
      <c r="Q209" s="539">
        <f t="shared" si="23"/>
        <v>0</v>
      </c>
      <c r="R209" s="539">
        <f t="shared" si="14"/>
        <v>0</v>
      </c>
      <c r="S209" s="539">
        <f t="shared" si="15"/>
        <v>1300000</v>
      </c>
      <c r="T209" s="539">
        <f t="shared" si="16"/>
        <v>0</v>
      </c>
      <c r="U209" s="539">
        <f t="shared" si="17"/>
        <v>0</v>
      </c>
      <c r="V209" s="539">
        <f t="shared" si="18"/>
        <v>0</v>
      </c>
    </row>
    <row r="210" spans="1:22" s="540" customFormat="1" ht="21" customHeight="1">
      <c r="A210" s="768"/>
      <c r="B210" s="768"/>
      <c r="C210" s="768"/>
      <c r="D210" s="775"/>
      <c r="E210" s="775"/>
      <c r="F210" s="775"/>
      <c r="G210" s="768"/>
      <c r="H210" s="1599" t="s">
        <v>387</v>
      </c>
      <c r="I210" s="1221">
        <v>980000</v>
      </c>
      <c r="J210" s="1063">
        <v>9</v>
      </c>
      <c r="K210" s="1001" t="s">
        <v>453</v>
      </c>
      <c r="L210" s="1001"/>
      <c r="M210" s="1222" t="s">
        <v>33</v>
      </c>
      <c r="N210" s="1217">
        <f t="shared" si="22"/>
        <v>8820000</v>
      </c>
      <c r="P210" s="539">
        <f t="shared" si="12"/>
        <v>8820000</v>
      </c>
      <c r="Q210" s="539">
        <f t="shared" si="23"/>
        <v>0</v>
      </c>
      <c r="R210" s="539">
        <f t="shared" si="14"/>
        <v>0</v>
      </c>
      <c r="S210" s="539">
        <f t="shared" si="15"/>
        <v>0</v>
      </c>
      <c r="T210" s="539">
        <f t="shared" si="16"/>
        <v>0</v>
      </c>
      <c r="U210" s="539">
        <f t="shared" si="17"/>
        <v>0</v>
      </c>
      <c r="V210" s="539">
        <f t="shared" si="18"/>
        <v>0</v>
      </c>
    </row>
    <row r="211" spans="1:22" s="540" customFormat="1" ht="21" customHeight="1">
      <c r="A211" s="768"/>
      <c r="B211" s="768"/>
      <c r="C211" s="768"/>
      <c r="D211" s="775"/>
      <c r="E211" s="775"/>
      <c r="F211" s="775"/>
      <c r="G211" s="768"/>
      <c r="H211" s="1599"/>
      <c r="I211" s="1233">
        <v>1400000</v>
      </c>
      <c r="J211" s="1180">
        <v>1</v>
      </c>
      <c r="K211" s="1178" t="s">
        <v>453</v>
      </c>
      <c r="L211" s="1178"/>
      <c r="M211" s="1234" t="s">
        <v>459</v>
      </c>
      <c r="N211" s="1235">
        <f t="shared" si="22"/>
        <v>1400000</v>
      </c>
      <c r="P211" s="539">
        <f t="shared" si="12"/>
        <v>0</v>
      </c>
      <c r="Q211" s="539">
        <f t="shared" si="23"/>
        <v>0</v>
      </c>
      <c r="R211" s="539">
        <f t="shared" si="14"/>
        <v>1400000</v>
      </c>
      <c r="S211" s="539">
        <f t="shared" si="15"/>
        <v>0</v>
      </c>
      <c r="T211" s="539">
        <f t="shared" si="16"/>
        <v>0</v>
      </c>
      <c r="U211" s="539">
        <f t="shared" si="17"/>
        <v>0</v>
      </c>
      <c r="V211" s="539">
        <f t="shared" si="18"/>
        <v>0</v>
      </c>
    </row>
    <row r="212" spans="1:22" s="540" customFormat="1" ht="21" customHeight="1">
      <c r="A212" s="768"/>
      <c r="B212" s="768"/>
      <c r="C212" s="768"/>
      <c r="D212" s="775"/>
      <c r="E212" s="775"/>
      <c r="F212" s="775"/>
      <c r="G212" s="768"/>
      <c r="H212" s="1599"/>
      <c r="I212" s="1244">
        <v>1400000</v>
      </c>
      <c r="J212" s="1057">
        <v>1</v>
      </c>
      <c r="K212" s="1056" t="s">
        <v>467</v>
      </c>
      <c r="L212" s="1056"/>
      <c r="M212" s="1245" t="s">
        <v>126</v>
      </c>
      <c r="N212" s="1246">
        <f t="shared" si="22"/>
        <v>1400000</v>
      </c>
      <c r="P212" s="539">
        <f t="shared" si="12"/>
        <v>0</v>
      </c>
      <c r="Q212" s="539">
        <f t="shared" si="23"/>
        <v>1400000</v>
      </c>
      <c r="R212" s="539">
        <f t="shared" si="14"/>
        <v>0</v>
      </c>
      <c r="S212" s="539">
        <f t="shared" si="15"/>
        <v>0</v>
      </c>
      <c r="T212" s="539">
        <f t="shared" si="16"/>
        <v>0</v>
      </c>
      <c r="U212" s="539">
        <f t="shared" si="17"/>
        <v>0</v>
      </c>
      <c r="V212" s="539">
        <f t="shared" si="18"/>
        <v>0</v>
      </c>
    </row>
    <row r="213" spans="1:22" s="540" customFormat="1" ht="21" customHeight="1">
      <c r="A213" s="768"/>
      <c r="B213" s="768"/>
      <c r="C213" s="768"/>
      <c r="D213" s="775"/>
      <c r="E213" s="775"/>
      <c r="F213" s="775"/>
      <c r="G213" s="768"/>
      <c r="H213" s="1599"/>
      <c r="I213" s="1244">
        <v>3000000</v>
      </c>
      <c r="J213" s="1057">
        <v>1</v>
      </c>
      <c r="K213" s="1056" t="s">
        <v>467</v>
      </c>
      <c r="L213" s="1056"/>
      <c r="M213" s="1245" t="s">
        <v>209</v>
      </c>
      <c r="N213" s="1246">
        <f t="shared" si="22"/>
        <v>3000000</v>
      </c>
      <c r="P213" s="539">
        <f t="shared" si="12"/>
        <v>0</v>
      </c>
      <c r="Q213" s="539">
        <f t="shared" si="23"/>
        <v>0</v>
      </c>
      <c r="R213" s="539">
        <f t="shared" si="14"/>
        <v>0</v>
      </c>
      <c r="S213" s="539">
        <f t="shared" si="15"/>
        <v>0</v>
      </c>
      <c r="T213" s="539">
        <f t="shared" si="16"/>
        <v>3000000</v>
      </c>
      <c r="U213" s="539">
        <f t="shared" si="17"/>
        <v>0</v>
      </c>
      <c r="V213" s="539">
        <f t="shared" si="18"/>
        <v>0</v>
      </c>
    </row>
    <row r="214" spans="1:22" s="540" customFormat="1" ht="21" customHeight="1">
      <c r="A214" s="768"/>
      <c r="B214" s="768"/>
      <c r="C214" s="768"/>
      <c r="D214" s="775"/>
      <c r="E214" s="775"/>
      <c r="F214" s="775"/>
      <c r="G214" s="768"/>
      <c r="H214" s="1599"/>
      <c r="I214" s="1236">
        <v>3542430</v>
      </c>
      <c r="J214" s="1057">
        <v>1</v>
      </c>
      <c r="K214" s="1056" t="s">
        <v>467</v>
      </c>
      <c r="L214" s="1056" t="s">
        <v>681</v>
      </c>
      <c r="M214" s="1245" t="s">
        <v>208</v>
      </c>
      <c r="N214" s="1246">
        <f t="shared" si="22"/>
        <v>3542430</v>
      </c>
      <c r="P214" s="539">
        <f t="shared" si="12"/>
        <v>0</v>
      </c>
      <c r="Q214" s="539">
        <f t="shared" si="23"/>
        <v>0</v>
      </c>
      <c r="R214" s="539">
        <f t="shared" si="14"/>
        <v>0</v>
      </c>
      <c r="S214" s="539">
        <f t="shared" si="15"/>
        <v>3542430</v>
      </c>
      <c r="T214" s="539">
        <f t="shared" si="16"/>
        <v>0</v>
      </c>
      <c r="U214" s="539">
        <f t="shared" si="17"/>
        <v>0</v>
      </c>
      <c r="V214" s="539">
        <f t="shared" si="18"/>
        <v>0</v>
      </c>
    </row>
    <row r="215" spans="1:22" s="540" customFormat="1" ht="21" customHeight="1">
      <c r="A215" s="768"/>
      <c r="B215" s="768"/>
      <c r="C215" s="768"/>
      <c r="D215" s="775"/>
      <c r="E215" s="775"/>
      <c r="F215" s="775"/>
      <c r="G215" s="768"/>
      <c r="H215" s="1077" t="s">
        <v>388</v>
      </c>
      <c r="I215" s="1223">
        <v>17600</v>
      </c>
      <c r="J215" s="1054">
        <v>12</v>
      </c>
      <c r="K215" s="1053" t="s">
        <v>453</v>
      </c>
      <c r="L215" s="1053"/>
      <c r="M215" s="1224" t="s">
        <v>33</v>
      </c>
      <c r="N215" s="1232">
        <f t="shared" si="22"/>
        <v>211200</v>
      </c>
      <c r="P215" s="539">
        <f t="shared" si="12"/>
        <v>211200</v>
      </c>
      <c r="Q215" s="539">
        <f t="shared" si="23"/>
        <v>0</v>
      </c>
      <c r="R215" s="539">
        <f t="shared" si="14"/>
        <v>0</v>
      </c>
      <c r="S215" s="539">
        <f t="shared" si="15"/>
        <v>0</v>
      </c>
      <c r="T215" s="539">
        <f t="shared" si="16"/>
        <v>0</v>
      </c>
      <c r="U215" s="539">
        <f t="shared" si="17"/>
        <v>0</v>
      </c>
      <c r="V215" s="539">
        <f t="shared" si="18"/>
        <v>0</v>
      </c>
    </row>
    <row r="216" spans="1:22" s="540" customFormat="1" ht="21" customHeight="1">
      <c r="A216" s="768"/>
      <c r="B216" s="768"/>
      <c r="C216" s="768"/>
      <c r="D216" s="775"/>
      <c r="E216" s="775"/>
      <c r="F216" s="775"/>
      <c r="G216" s="768"/>
      <c r="H216" s="1078" t="s">
        <v>389</v>
      </c>
      <c r="I216" s="1218">
        <v>6000</v>
      </c>
      <c r="J216" s="1067">
        <v>12</v>
      </c>
      <c r="K216" s="1066" t="s">
        <v>453</v>
      </c>
      <c r="L216" s="1066"/>
      <c r="M216" s="1219" t="s">
        <v>33</v>
      </c>
      <c r="N216" s="1220">
        <f t="shared" si="22"/>
        <v>72000</v>
      </c>
      <c r="P216" s="539">
        <f t="shared" si="12"/>
        <v>72000</v>
      </c>
      <c r="Q216" s="539">
        <f t="shared" si="23"/>
        <v>0</v>
      </c>
      <c r="R216" s="539">
        <f t="shared" si="14"/>
        <v>0</v>
      </c>
      <c r="S216" s="539">
        <f t="shared" si="15"/>
        <v>0</v>
      </c>
      <c r="T216" s="539">
        <f t="shared" si="16"/>
        <v>0</v>
      </c>
      <c r="U216" s="539">
        <f t="shared" si="17"/>
        <v>0</v>
      </c>
      <c r="V216" s="539">
        <f t="shared" si="18"/>
        <v>0</v>
      </c>
    </row>
    <row r="217" spans="1:22" s="540" customFormat="1" ht="21" customHeight="1">
      <c r="A217" s="768"/>
      <c r="B217" s="768"/>
      <c r="C217" s="768"/>
      <c r="D217" s="775"/>
      <c r="E217" s="775"/>
      <c r="F217" s="775"/>
      <c r="G217" s="768"/>
      <c r="H217" s="1155" t="s">
        <v>465</v>
      </c>
      <c r="I217" s="1229">
        <v>3300</v>
      </c>
      <c r="J217" s="999">
        <v>12</v>
      </c>
      <c r="K217" s="998" t="s">
        <v>453</v>
      </c>
      <c r="L217" s="998"/>
      <c r="M217" s="1230" t="s">
        <v>33</v>
      </c>
      <c r="N217" s="1231">
        <f t="shared" si="22"/>
        <v>39600</v>
      </c>
      <c r="P217" s="539">
        <f t="shared" si="12"/>
        <v>39600</v>
      </c>
      <c r="Q217" s="539">
        <f t="shared" si="23"/>
        <v>0</v>
      </c>
      <c r="R217" s="539">
        <f t="shared" si="14"/>
        <v>0</v>
      </c>
      <c r="S217" s="539">
        <f t="shared" si="15"/>
        <v>0</v>
      </c>
      <c r="T217" s="539">
        <f t="shared" si="16"/>
        <v>0</v>
      </c>
      <c r="U217" s="539">
        <f t="shared" si="17"/>
        <v>0</v>
      </c>
      <c r="V217" s="539">
        <f t="shared" si="18"/>
        <v>0</v>
      </c>
    </row>
    <row r="218" spans="1:22" s="540" customFormat="1" ht="21" customHeight="1" thickBot="1">
      <c r="A218" s="768"/>
      <c r="B218" s="768"/>
      <c r="C218" s="768"/>
      <c r="D218" s="775"/>
      <c r="E218" s="775"/>
      <c r="F218" s="775"/>
      <c r="G218" s="768"/>
      <c r="H218" s="1173" t="s">
        <v>466</v>
      </c>
      <c r="I218" s="1221">
        <v>3850</v>
      </c>
      <c r="J218" s="1063">
        <v>12</v>
      </c>
      <c r="K218" s="1247" t="s">
        <v>453</v>
      </c>
      <c r="L218" s="1001"/>
      <c r="M218" s="1222" t="s">
        <v>33</v>
      </c>
      <c r="N218" s="1228">
        <f t="shared" si="22"/>
        <v>46200</v>
      </c>
      <c r="P218" s="539">
        <f t="shared" si="12"/>
        <v>46200</v>
      </c>
      <c r="Q218" s="539">
        <f t="shared" si="23"/>
        <v>0</v>
      </c>
      <c r="R218" s="539">
        <f t="shared" si="14"/>
        <v>0</v>
      </c>
      <c r="S218" s="539">
        <f t="shared" si="15"/>
        <v>0</v>
      </c>
      <c r="T218" s="539">
        <f t="shared" si="16"/>
        <v>0</v>
      </c>
      <c r="U218" s="539">
        <f t="shared" si="17"/>
        <v>0</v>
      </c>
      <c r="V218" s="539">
        <f t="shared" si="18"/>
        <v>0</v>
      </c>
    </row>
    <row r="219" spans="1:22" ht="15" thickBot="1">
      <c r="A219" s="768"/>
      <c r="B219" s="768"/>
      <c r="C219" s="570" t="s">
        <v>191</v>
      </c>
      <c r="D219" s="766">
        <v>9716700</v>
      </c>
      <c r="E219" s="570">
        <v>8491340</v>
      </c>
      <c r="F219" s="578">
        <f>N219</f>
        <v>7454150</v>
      </c>
      <c r="G219" s="570">
        <f>F219-E219</f>
        <v>-1037190</v>
      </c>
      <c r="H219" s="1084" t="s">
        <v>191</v>
      </c>
      <c r="I219" s="1085"/>
      <c r="J219" s="1086"/>
      <c r="K219" s="1248"/>
      <c r="L219" s="1240"/>
      <c r="M219" s="1241"/>
      <c r="N219" s="1050">
        <f>N220+N224+N228</f>
        <v>7454150</v>
      </c>
      <c r="P219" s="438">
        <f>SUM(P220,P224,P228)</f>
        <v>5054150</v>
      </c>
      <c r="Q219" s="438">
        <f>SUM(Q220,Q224,Q228)</f>
        <v>1200000</v>
      </c>
      <c r="R219" s="438">
        <f>SUM(R220,R224,R228)</f>
        <v>1200000</v>
      </c>
      <c r="S219" s="539">
        <f t="shared" ref="S219:S254" si="25">IF($M219="지정후원금",$N219,0)</f>
        <v>0</v>
      </c>
      <c r="T219" s="539">
        <f t="shared" si="16"/>
        <v>0</v>
      </c>
      <c r="U219" s="539">
        <f t="shared" si="17"/>
        <v>0</v>
      </c>
      <c r="V219" s="438">
        <f>SUM(V220,V224,V228)</f>
        <v>0</v>
      </c>
    </row>
    <row r="220" spans="1:22" s="540" customFormat="1" ht="19.5" customHeight="1" thickBot="1">
      <c r="A220" s="768"/>
      <c r="B220" s="768"/>
      <c r="C220" s="768"/>
      <c r="D220" s="775"/>
      <c r="E220" s="775"/>
      <c r="F220" s="775"/>
      <c r="G220" s="768"/>
      <c r="H220" s="1084" t="s">
        <v>192</v>
      </c>
      <c r="I220" s="1085"/>
      <c r="J220" s="1086"/>
      <c r="K220" s="1248"/>
      <c r="L220" s="1248"/>
      <c r="M220" s="1241"/>
      <c r="N220" s="1050">
        <f>SUM(N221:N223)</f>
        <v>1592120</v>
      </c>
      <c r="P220" s="542">
        <f>SUM(P221:P223)</f>
        <v>1592120</v>
      </c>
      <c r="Q220" s="542">
        <f>SUM(Q221:Q223)</f>
        <v>0</v>
      </c>
      <c r="R220" s="542">
        <f>SUM(R221:R223)</f>
        <v>0</v>
      </c>
      <c r="S220" s="539">
        <f t="shared" si="25"/>
        <v>0</v>
      </c>
      <c r="T220" s="539">
        <f t="shared" si="16"/>
        <v>0</v>
      </c>
      <c r="U220" s="539">
        <f t="shared" si="17"/>
        <v>0</v>
      </c>
      <c r="V220" s="542">
        <f>SUM(V221:V223)</f>
        <v>0</v>
      </c>
    </row>
    <row r="221" spans="1:22" s="540" customFormat="1" ht="21" customHeight="1">
      <c r="A221" s="768"/>
      <c r="B221" s="768"/>
      <c r="C221" s="768"/>
      <c r="D221" s="775"/>
      <c r="E221" s="775"/>
      <c r="F221" s="775"/>
      <c r="G221" s="768"/>
      <c r="H221" s="1155" t="s">
        <v>390</v>
      </c>
      <c r="I221" s="1229">
        <v>520780</v>
      </c>
      <c r="J221" s="999">
        <v>1</v>
      </c>
      <c r="K221" s="998" t="s">
        <v>467</v>
      </c>
      <c r="L221" s="998"/>
      <c r="M221" s="1230" t="s">
        <v>33</v>
      </c>
      <c r="N221" s="1249">
        <f>I221*J221</f>
        <v>520780</v>
      </c>
      <c r="P221" s="539">
        <f t="shared" ref="P221:P254" si="26">IF($M221="보조금",$N221,0)</f>
        <v>520780</v>
      </c>
      <c r="Q221" s="539">
        <f t="shared" ref="Q221:Q254" si="27">IF($M221="법인전입금",$N221,0)</f>
        <v>0</v>
      </c>
      <c r="R221" s="539">
        <f t="shared" ref="R221:R254" si="28">IF($M221="구법인",$N221,0)</f>
        <v>0</v>
      </c>
      <c r="S221" s="539">
        <f t="shared" si="25"/>
        <v>0</v>
      </c>
      <c r="T221" s="539">
        <f t="shared" si="16"/>
        <v>0</v>
      </c>
      <c r="U221" s="539">
        <f t="shared" si="17"/>
        <v>0</v>
      </c>
      <c r="V221" s="539">
        <f>IF(OR($M221="잡수입"),$N221,0)</f>
        <v>0</v>
      </c>
    </row>
    <row r="222" spans="1:22" s="540" customFormat="1" ht="21" customHeight="1">
      <c r="A222" s="768"/>
      <c r="B222" s="768"/>
      <c r="C222" s="768"/>
      <c r="D222" s="775"/>
      <c r="E222" s="775"/>
      <c r="F222" s="775"/>
      <c r="G222" s="768"/>
      <c r="H222" s="1155" t="s">
        <v>407</v>
      </c>
      <c r="I222" s="1229">
        <v>584290</v>
      </c>
      <c r="J222" s="999">
        <v>1</v>
      </c>
      <c r="K222" s="998" t="s">
        <v>467</v>
      </c>
      <c r="L222" s="998"/>
      <c r="M222" s="1230" t="s">
        <v>33</v>
      </c>
      <c r="N222" s="1249">
        <f>I222*J222</f>
        <v>584290</v>
      </c>
      <c r="P222" s="539">
        <f t="shared" si="26"/>
        <v>584290</v>
      </c>
      <c r="Q222" s="539">
        <f t="shared" si="27"/>
        <v>0</v>
      </c>
      <c r="R222" s="539">
        <f t="shared" si="28"/>
        <v>0</v>
      </c>
      <c r="S222" s="539">
        <f t="shared" si="25"/>
        <v>0</v>
      </c>
      <c r="T222" s="539">
        <f t="shared" si="16"/>
        <v>0</v>
      </c>
      <c r="U222" s="539">
        <f t="shared" si="17"/>
        <v>0</v>
      </c>
      <c r="V222" s="540">
        <f t="shared" ref="V222:V225" si="29">IF(OR($M222="잡수입"),$N222,0)</f>
        <v>0</v>
      </c>
    </row>
    <row r="223" spans="1:22" s="540" customFormat="1" ht="21" customHeight="1" thickBot="1">
      <c r="A223" s="768"/>
      <c r="B223" s="768"/>
      <c r="C223" s="768"/>
      <c r="D223" s="775"/>
      <c r="E223" s="775"/>
      <c r="F223" s="775"/>
      <c r="G223" s="768"/>
      <c r="H223" s="1155" t="s">
        <v>391</v>
      </c>
      <c r="I223" s="1229">
        <v>487050</v>
      </c>
      <c r="J223" s="999">
        <v>1</v>
      </c>
      <c r="K223" s="998" t="s">
        <v>467</v>
      </c>
      <c r="L223" s="998"/>
      <c r="M223" s="1230" t="s">
        <v>33</v>
      </c>
      <c r="N223" s="1249">
        <f>I223*J223</f>
        <v>487050</v>
      </c>
      <c r="P223" s="539">
        <f t="shared" si="26"/>
        <v>487050</v>
      </c>
      <c r="Q223" s="539">
        <f t="shared" si="27"/>
        <v>0</v>
      </c>
      <c r="R223" s="539">
        <f t="shared" si="28"/>
        <v>0</v>
      </c>
      <c r="S223" s="539">
        <f t="shared" si="25"/>
        <v>0</v>
      </c>
      <c r="T223" s="539">
        <f t="shared" si="16"/>
        <v>0</v>
      </c>
      <c r="U223" s="539">
        <f t="shared" si="17"/>
        <v>0</v>
      </c>
      <c r="V223" s="540">
        <f t="shared" si="29"/>
        <v>0</v>
      </c>
    </row>
    <row r="224" spans="1:22" s="540" customFormat="1" ht="21" customHeight="1" thickBot="1">
      <c r="A224" s="768"/>
      <c r="B224" s="768"/>
      <c r="C224" s="768"/>
      <c r="D224" s="775"/>
      <c r="E224" s="775"/>
      <c r="F224" s="775"/>
      <c r="G224" s="768"/>
      <c r="H224" s="1084" t="s">
        <v>392</v>
      </c>
      <c r="I224" s="1085"/>
      <c r="J224" s="1086"/>
      <c r="K224" s="1086"/>
      <c r="L224" s="1248"/>
      <c r="M224" s="1241"/>
      <c r="N224" s="1050">
        <f>SUM(N225:N227)</f>
        <v>193360</v>
      </c>
      <c r="P224" s="542">
        <f>SUM(P225:P227)</f>
        <v>193360</v>
      </c>
      <c r="Q224" s="542">
        <f>SUM(Q225:Q227)</f>
        <v>0</v>
      </c>
      <c r="R224" s="542">
        <f>SUM(R225:R227)</f>
        <v>0</v>
      </c>
      <c r="S224" s="539">
        <f t="shared" si="25"/>
        <v>0</v>
      </c>
      <c r="T224" s="539">
        <f t="shared" ref="T224:T254" si="30">IF($M224="비지정후원금",$N224,0)</f>
        <v>0</v>
      </c>
      <c r="U224" s="539">
        <f t="shared" ref="U224:U254" si="31">IF(OR($M224="수익사업"),$N224,0)</f>
        <v>0</v>
      </c>
      <c r="V224" s="542">
        <f>SUM(V225:V227)</f>
        <v>0</v>
      </c>
    </row>
    <row r="225" spans="1:22" s="540" customFormat="1" ht="21" customHeight="1">
      <c r="A225" s="768"/>
      <c r="B225" s="768"/>
      <c r="C225" s="768"/>
      <c r="D225" s="775"/>
      <c r="E225" s="775"/>
      <c r="F225" s="775"/>
      <c r="G225" s="768"/>
      <c r="H225" s="1155" t="s">
        <v>393</v>
      </c>
      <c r="I225" s="1229">
        <v>62020</v>
      </c>
      <c r="J225" s="999">
        <v>1</v>
      </c>
      <c r="K225" s="998" t="s">
        <v>467</v>
      </c>
      <c r="L225" s="998"/>
      <c r="M225" s="1230" t="s">
        <v>33</v>
      </c>
      <c r="N225" s="1249">
        <f>I225*J225</f>
        <v>62020</v>
      </c>
      <c r="P225" s="539">
        <f t="shared" si="26"/>
        <v>62020</v>
      </c>
      <c r="Q225" s="539">
        <f t="shared" si="27"/>
        <v>0</v>
      </c>
      <c r="R225" s="539">
        <f t="shared" si="28"/>
        <v>0</v>
      </c>
      <c r="S225" s="539">
        <f t="shared" si="25"/>
        <v>0</v>
      </c>
      <c r="T225" s="539">
        <f t="shared" si="30"/>
        <v>0</v>
      </c>
      <c r="U225" s="539">
        <f t="shared" si="31"/>
        <v>0</v>
      </c>
      <c r="V225" s="540">
        <f t="shared" si="29"/>
        <v>0</v>
      </c>
    </row>
    <row r="226" spans="1:22" s="540" customFormat="1" ht="21" customHeight="1">
      <c r="A226" s="768"/>
      <c r="B226" s="768"/>
      <c r="C226" s="768"/>
      <c r="D226" s="775"/>
      <c r="E226" s="775"/>
      <c r="F226" s="775"/>
      <c r="G226" s="768"/>
      <c r="H226" s="1155" t="s">
        <v>406</v>
      </c>
      <c r="I226" s="1229">
        <v>62020</v>
      </c>
      <c r="J226" s="999">
        <v>1</v>
      </c>
      <c r="K226" s="998" t="s">
        <v>467</v>
      </c>
      <c r="L226" s="998"/>
      <c r="M226" s="1230" t="s">
        <v>33</v>
      </c>
      <c r="N226" s="1249">
        <f>I226*J226</f>
        <v>62020</v>
      </c>
      <c r="P226" s="539">
        <f t="shared" si="26"/>
        <v>62020</v>
      </c>
      <c r="Q226" s="539">
        <f t="shared" si="27"/>
        <v>0</v>
      </c>
      <c r="R226" s="539">
        <f t="shared" si="28"/>
        <v>0</v>
      </c>
      <c r="S226" s="539">
        <f t="shared" si="25"/>
        <v>0</v>
      </c>
      <c r="T226" s="539">
        <f t="shared" si="30"/>
        <v>0</v>
      </c>
      <c r="U226" s="539">
        <f t="shared" si="31"/>
        <v>0</v>
      </c>
      <c r="V226" s="539">
        <f>IF(OR($M226="잡수입"),$N226,0)</f>
        <v>0</v>
      </c>
    </row>
    <row r="227" spans="1:22" s="540" customFormat="1" ht="21" customHeight="1" thickBot="1">
      <c r="A227" s="768"/>
      <c r="B227" s="768"/>
      <c r="C227" s="768"/>
      <c r="D227" s="775"/>
      <c r="E227" s="775"/>
      <c r="F227" s="775"/>
      <c r="G227" s="768"/>
      <c r="H227" s="1155" t="s">
        <v>394</v>
      </c>
      <c r="I227" s="1229">
        <v>69320</v>
      </c>
      <c r="J227" s="999">
        <v>1</v>
      </c>
      <c r="K227" s="998" t="s">
        <v>467</v>
      </c>
      <c r="L227" s="998"/>
      <c r="M227" s="1230" t="s">
        <v>33</v>
      </c>
      <c r="N227" s="1249">
        <f>I227*J227</f>
        <v>69320</v>
      </c>
      <c r="P227" s="539">
        <f t="shared" si="26"/>
        <v>69320</v>
      </c>
      <c r="Q227" s="539">
        <f t="shared" si="27"/>
        <v>0</v>
      </c>
      <c r="R227" s="539">
        <f t="shared" si="28"/>
        <v>0</v>
      </c>
      <c r="S227" s="539">
        <f t="shared" si="25"/>
        <v>0</v>
      </c>
      <c r="T227" s="539">
        <f t="shared" si="30"/>
        <v>0</v>
      </c>
      <c r="U227" s="539">
        <f t="shared" si="31"/>
        <v>0</v>
      </c>
      <c r="V227" s="540">
        <f>IF(OR($M227="잡수입"),$N227,0)</f>
        <v>0</v>
      </c>
    </row>
    <row r="228" spans="1:22" s="540" customFormat="1" ht="21" customHeight="1" thickBot="1">
      <c r="A228" s="768"/>
      <c r="B228" s="768"/>
      <c r="C228" s="768"/>
      <c r="D228" s="775"/>
      <c r="E228" s="775"/>
      <c r="F228" s="775"/>
      <c r="G228" s="768"/>
      <c r="H228" s="1084" t="s">
        <v>193</v>
      </c>
      <c r="I228" s="1085"/>
      <c r="J228" s="1086"/>
      <c r="K228" s="1248"/>
      <c r="L228" s="1240"/>
      <c r="M228" s="1241"/>
      <c r="N228" s="1050">
        <f>SUM(N229:N239)</f>
        <v>5668670</v>
      </c>
      <c r="P228" s="542">
        <f>SUM(P229:P239)</f>
        <v>3268670</v>
      </c>
      <c r="Q228" s="542">
        <f>SUM(Q229:Q239)</f>
        <v>1200000</v>
      </c>
      <c r="R228" s="542">
        <f>SUM(R229:R239)</f>
        <v>1200000</v>
      </c>
      <c r="S228" s="539">
        <f t="shared" si="25"/>
        <v>0</v>
      </c>
      <c r="T228" s="539">
        <f t="shared" si="30"/>
        <v>0</v>
      </c>
      <c r="U228" s="539">
        <f t="shared" si="31"/>
        <v>0</v>
      </c>
      <c r="V228" s="542">
        <f>SUM(V229:V239)</f>
        <v>0</v>
      </c>
    </row>
    <row r="229" spans="1:22" s="540" customFormat="1" ht="21" customHeight="1">
      <c r="A229" s="768"/>
      <c r="B229" s="768"/>
      <c r="C229" s="768"/>
      <c r="D229" s="775"/>
      <c r="E229" s="775"/>
      <c r="F229" s="775"/>
      <c r="G229" s="768"/>
      <c r="H229" s="1155" t="s">
        <v>395</v>
      </c>
      <c r="I229" s="1229">
        <v>683000</v>
      </c>
      <c r="J229" s="999">
        <v>1</v>
      </c>
      <c r="K229" s="998" t="s">
        <v>467</v>
      </c>
      <c r="L229" s="998"/>
      <c r="M229" s="1230" t="s">
        <v>33</v>
      </c>
      <c r="N229" s="1249">
        <f t="shared" ref="N229:N239" si="32">I229*J229</f>
        <v>683000</v>
      </c>
      <c r="P229" s="539">
        <f t="shared" si="26"/>
        <v>683000</v>
      </c>
      <c r="Q229" s="539">
        <f t="shared" si="27"/>
        <v>0</v>
      </c>
      <c r="R229" s="539">
        <f t="shared" si="28"/>
        <v>0</v>
      </c>
      <c r="S229" s="539">
        <f t="shared" si="25"/>
        <v>0</v>
      </c>
      <c r="T229" s="539">
        <f t="shared" si="30"/>
        <v>0</v>
      </c>
      <c r="U229" s="539">
        <f t="shared" si="31"/>
        <v>0</v>
      </c>
      <c r="V229" s="539">
        <f t="shared" ref="V229:V239" si="33">IF(OR($M229="잡수입"),$N229,0)</f>
        <v>0</v>
      </c>
    </row>
    <row r="230" spans="1:22" s="540" customFormat="1" ht="21" customHeight="1">
      <c r="A230" s="768"/>
      <c r="B230" s="768"/>
      <c r="C230" s="768"/>
      <c r="D230" s="775"/>
      <c r="E230" s="775"/>
      <c r="F230" s="775"/>
      <c r="G230" s="768"/>
      <c r="H230" s="1155" t="s">
        <v>469</v>
      </c>
      <c r="I230" s="1229">
        <v>70900</v>
      </c>
      <c r="J230" s="999">
        <v>1</v>
      </c>
      <c r="K230" s="998" t="s">
        <v>467</v>
      </c>
      <c r="L230" s="998"/>
      <c r="M230" s="1230" t="s">
        <v>33</v>
      </c>
      <c r="N230" s="1249">
        <f t="shared" si="32"/>
        <v>70900</v>
      </c>
      <c r="P230" s="539">
        <f t="shared" si="26"/>
        <v>70900</v>
      </c>
      <c r="Q230" s="539">
        <f t="shared" si="27"/>
        <v>0</v>
      </c>
      <c r="R230" s="539">
        <f t="shared" si="28"/>
        <v>0</v>
      </c>
      <c r="S230" s="539">
        <f t="shared" si="25"/>
        <v>0</v>
      </c>
      <c r="T230" s="539">
        <f t="shared" si="30"/>
        <v>0</v>
      </c>
      <c r="U230" s="539">
        <f t="shared" si="31"/>
        <v>0</v>
      </c>
      <c r="V230" s="539">
        <f t="shared" si="33"/>
        <v>0</v>
      </c>
    </row>
    <row r="231" spans="1:22" s="540" customFormat="1" ht="21" customHeight="1">
      <c r="A231" s="768"/>
      <c r="B231" s="768"/>
      <c r="C231" s="768"/>
      <c r="D231" s="775"/>
      <c r="E231" s="775"/>
      <c r="F231" s="775"/>
      <c r="G231" s="768"/>
      <c r="H231" s="1155" t="s">
        <v>396</v>
      </c>
      <c r="I231" s="1229">
        <v>20000</v>
      </c>
      <c r="J231" s="999">
        <v>1</v>
      </c>
      <c r="K231" s="998" t="s">
        <v>467</v>
      </c>
      <c r="L231" s="998"/>
      <c r="M231" s="1230" t="s">
        <v>33</v>
      </c>
      <c r="N231" s="1249">
        <f t="shared" si="32"/>
        <v>20000</v>
      </c>
      <c r="P231" s="539">
        <f t="shared" si="26"/>
        <v>20000</v>
      </c>
      <c r="Q231" s="539">
        <f t="shared" si="27"/>
        <v>0</v>
      </c>
      <c r="R231" s="539">
        <f t="shared" si="28"/>
        <v>0</v>
      </c>
      <c r="S231" s="539">
        <f t="shared" si="25"/>
        <v>0</v>
      </c>
      <c r="T231" s="539">
        <f t="shared" si="30"/>
        <v>0</v>
      </c>
      <c r="U231" s="539">
        <f t="shared" si="31"/>
        <v>0</v>
      </c>
      <c r="V231" s="539">
        <f t="shared" si="33"/>
        <v>0</v>
      </c>
    </row>
    <row r="232" spans="1:22" s="540" customFormat="1" ht="21" customHeight="1">
      <c r="A232" s="768"/>
      <c r="B232" s="768"/>
      <c r="C232" s="768"/>
      <c r="D232" s="775"/>
      <c r="E232" s="775"/>
      <c r="F232" s="775"/>
      <c r="G232" s="768"/>
      <c r="H232" s="1155" t="s">
        <v>437</v>
      </c>
      <c r="I232" s="1229">
        <v>20000</v>
      </c>
      <c r="J232" s="999">
        <v>1</v>
      </c>
      <c r="K232" s="998" t="s">
        <v>467</v>
      </c>
      <c r="L232" s="998"/>
      <c r="M232" s="1230" t="s">
        <v>33</v>
      </c>
      <c r="N232" s="1249">
        <f t="shared" si="32"/>
        <v>20000</v>
      </c>
      <c r="P232" s="539">
        <f t="shared" si="26"/>
        <v>20000</v>
      </c>
      <c r="Q232" s="539">
        <f t="shared" si="27"/>
        <v>0</v>
      </c>
      <c r="R232" s="539">
        <f t="shared" si="28"/>
        <v>0</v>
      </c>
      <c r="S232" s="539">
        <f t="shared" si="25"/>
        <v>0</v>
      </c>
      <c r="T232" s="539">
        <f t="shared" si="30"/>
        <v>0</v>
      </c>
      <c r="U232" s="539">
        <f t="shared" si="31"/>
        <v>0</v>
      </c>
      <c r="V232" s="539">
        <f t="shared" si="33"/>
        <v>0</v>
      </c>
    </row>
    <row r="233" spans="1:22" s="540" customFormat="1" ht="21" customHeight="1">
      <c r="A233" s="768"/>
      <c r="B233" s="768"/>
      <c r="C233" s="768"/>
      <c r="D233" s="775"/>
      <c r="E233" s="775"/>
      <c r="F233" s="775"/>
      <c r="G233" s="768"/>
      <c r="H233" s="1155" t="s">
        <v>397</v>
      </c>
      <c r="I233" s="1229">
        <v>26390</v>
      </c>
      <c r="J233" s="999">
        <v>1</v>
      </c>
      <c r="K233" s="998" t="s">
        <v>455</v>
      </c>
      <c r="L233" s="998"/>
      <c r="M233" s="1230" t="s">
        <v>33</v>
      </c>
      <c r="N233" s="1249">
        <f t="shared" si="32"/>
        <v>26390</v>
      </c>
      <c r="P233" s="539">
        <f t="shared" si="26"/>
        <v>26390</v>
      </c>
      <c r="Q233" s="539">
        <f t="shared" si="27"/>
        <v>0</v>
      </c>
      <c r="R233" s="539">
        <f t="shared" si="28"/>
        <v>0</v>
      </c>
      <c r="S233" s="539">
        <f t="shared" si="25"/>
        <v>0</v>
      </c>
      <c r="T233" s="539">
        <f t="shared" si="30"/>
        <v>0</v>
      </c>
      <c r="U233" s="539">
        <f t="shared" si="31"/>
        <v>0</v>
      </c>
      <c r="V233" s="539">
        <f t="shared" si="33"/>
        <v>0</v>
      </c>
    </row>
    <row r="234" spans="1:22" s="540" customFormat="1" ht="21" customHeight="1">
      <c r="A234" s="768"/>
      <c r="B234" s="768"/>
      <c r="C234" s="768"/>
      <c r="D234" s="775"/>
      <c r="E234" s="775"/>
      <c r="F234" s="775"/>
      <c r="G234" s="768"/>
      <c r="H234" s="1155" t="s">
        <v>468</v>
      </c>
      <c r="I234" s="1229">
        <v>9000</v>
      </c>
      <c r="J234" s="999">
        <v>1</v>
      </c>
      <c r="K234" s="998" t="s">
        <v>467</v>
      </c>
      <c r="L234" s="998"/>
      <c r="M234" s="1230" t="s">
        <v>33</v>
      </c>
      <c r="N234" s="1249">
        <f t="shared" si="32"/>
        <v>9000</v>
      </c>
      <c r="P234" s="539">
        <f t="shared" si="26"/>
        <v>9000</v>
      </c>
      <c r="Q234" s="539">
        <f t="shared" si="27"/>
        <v>0</v>
      </c>
      <c r="R234" s="539">
        <f t="shared" si="28"/>
        <v>0</v>
      </c>
      <c r="S234" s="539">
        <f t="shared" si="25"/>
        <v>0</v>
      </c>
      <c r="T234" s="539">
        <f t="shared" si="30"/>
        <v>0</v>
      </c>
      <c r="U234" s="539">
        <f t="shared" si="31"/>
        <v>0</v>
      </c>
      <c r="V234" s="539">
        <f t="shared" si="33"/>
        <v>0</v>
      </c>
    </row>
    <row r="235" spans="1:22" s="540" customFormat="1" ht="21" customHeight="1">
      <c r="A235" s="768"/>
      <c r="B235" s="768"/>
      <c r="C235" s="768"/>
      <c r="D235" s="775"/>
      <c r="E235" s="775"/>
      <c r="F235" s="775"/>
      <c r="G235" s="768"/>
      <c r="H235" s="1155" t="s">
        <v>398</v>
      </c>
      <c r="I235" s="1229">
        <v>2160000</v>
      </c>
      <c r="J235" s="999">
        <v>1</v>
      </c>
      <c r="K235" s="998" t="s">
        <v>467</v>
      </c>
      <c r="L235" s="998"/>
      <c r="M235" s="1230" t="s">
        <v>33</v>
      </c>
      <c r="N235" s="1249">
        <f t="shared" si="32"/>
        <v>2160000</v>
      </c>
      <c r="P235" s="539">
        <f t="shared" si="26"/>
        <v>2160000</v>
      </c>
      <c r="Q235" s="539">
        <f t="shared" si="27"/>
        <v>0</v>
      </c>
      <c r="R235" s="539">
        <f t="shared" si="28"/>
        <v>0</v>
      </c>
      <c r="S235" s="539">
        <f t="shared" si="25"/>
        <v>0</v>
      </c>
      <c r="T235" s="539">
        <f t="shared" si="30"/>
        <v>0</v>
      </c>
      <c r="U235" s="539">
        <f t="shared" si="31"/>
        <v>0</v>
      </c>
      <c r="V235" s="539">
        <f t="shared" si="33"/>
        <v>0</v>
      </c>
    </row>
    <row r="236" spans="1:22" s="540" customFormat="1" ht="21" customHeight="1">
      <c r="A236" s="768"/>
      <c r="B236" s="768"/>
      <c r="C236" s="768"/>
      <c r="D236" s="775"/>
      <c r="E236" s="775"/>
      <c r="F236" s="775"/>
      <c r="G236" s="768"/>
      <c r="H236" s="1250" t="s">
        <v>528</v>
      </c>
      <c r="I236" s="1244"/>
      <c r="J236" s="1180"/>
      <c r="K236" s="1178"/>
      <c r="L236" s="1056"/>
      <c r="M236" s="1245"/>
      <c r="N236" s="1235">
        <f t="shared" si="32"/>
        <v>0</v>
      </c>
      <c r="P236" s="539">
        <f t="shared" si="26"/>
        <v>0</v>
      </c>
      <c r="Q236" s="539">
        <f t="shared" si="27"/>
        <v>0</v>
      </c>
      <c r="R236" s="539">
        <f t="shared" si="28"/>
        <v>0</v>
      </c>
      <c r="S236" s="539">
        <f t="shared" si="25"/>
        <v>0</v>
      </c>
      <c r="T236" s="539">
        <f t="shared" si="30"/>
        <v>0</v>
      </c>
      <c r="U236" s="539">
        <f t="shared" si="31"/>
        <v>0</v>
      </c>
      <c r="V236" s="539">
        <f t="shared" si="33"/>
        <v>0</v>
      </c>
    </row>
    <row r="237" spans="1:22" s="540" customFormat="1" ht="21" customHeight="1">
      <c r="A237" s="768"/>
      <c r="B237" s="768"/>
      <c r="C237" s="768"/>
      <c r="D237" s="775"/>
      <c r="E237" s="775"/>
      <c r="F237" s="775"/>
      <c r="G237" s="768"/>
      <c r="H237" s="1251" t="s">
        <v>193</v>
      </c>
      <c r="I237" s="1244">
        <v>1200000</v>
      </c>
      <c r="J237" s="1180">
        <v>1</v>
      </c>
      <c r="K237" s="1178" t="s">
        <v>467</v>
      </c>
      <c r="L237" s="1056"/>
      <c r="M237" s="1245" t="s">
        <v>459</v>
      </c>
      <c r="N237" s="1235">
        <f t="shared" si="32"/>
        <v>1200000</v>
      </c>
      <c r="P237" s="539">
        <f t="shared" si="26"/>
        <v>0</v>
      </c>
      <c r="Q237" s="539">
        <f t="shared" si="27"/>
        <v>0</v>
      </c>
      <c r="R237" s="539">
        <f t="shared" si="28"/>
        <v>1200000</v>
      </c>
      <c r="S237" s="539">
        <f t="shared" si="25"/>
        <v>0</v>
      </c>
      <c r="T237" s="539">
        <f t="shared" si="30"/>
        <v>0</v>
      </c>
      <c r="U237" s="539">
        <f t="shared" si="31"/>
        <v>0</v>
      </c>
      <c r="V237" s="539">
        <f t="shared" si="33"/>
        <v>0</v>
      </c>
    </row>
    <row r="238" spans="1:22" s="540" customFormat="1" ht="21" customHeight="1">
      <c r="A238" s="768"/>
      <c r="B238" s="768"/>
      <c r="C238" s="768"/>
      <c r="D238" s="775"/>
      <c r="E238" s="775"/>
      <c r="F238" s="775"/>
      <c r="G238" s="768"/>
      <c r="H238" s="1251" t="s">
        <v>193</v>
      </c>
      <c r="I238" s="1244">
        <f>332290-52910</f>
        <v>279380</v>
      </c>
      <c r="J238" s="1180">
        <v>1</v>
      </c>
      <c r="K238" s="1178" t="s">
        <v>467</v>
      </c>
      <c r="L238" s="1056"/>
      <c r="M238" s="1245" t="s">
        <v>33</v>
      </c>
      <c r="N238" s="1246">
        <f t="shared" si="32"/>
        <v>279380</v>
      </c>
      <c r="P238" s="539">
        <f t="shared" si="26"/>
        <v>279380</v>
      </c>
      <c r="Q238" s="539">
        <f t="shared" si="27"/>
        <v>0</v>
      </c>
      <c r="R238" s="539">
        <f t="shared" si="28"/>
        <v>0</v>
      </c>
      <c r="S238" s="539">
        <f t="shared" si="25"/>
        <v>0</v>
      </c>
      <c r="T238" s="539">
        <f t="shared" si="30"/>
        <v>0</v>
      </c>
      <c r="U238" s="539">
        <f t="shared" si="31"/>
        <v>0</v>
      </c>
      <c r="V238" s="539">
        <f t="shared" si="33"/>
        <v>0</v>
      </c>
    </row>
    <row r="239" spans="1:22" s="540" customFormat="1" ht="21" customHeight="1" thickBot="1">
      <c r="A239" s="768"/>
      <c r="B239" s="768"/>
      <c r="C239" s="768"/>
      <c r="D239" s="775"/>
      <c r="E239" s="775"/>
      <c r="F239" s="775"/>
      <c r="G239" s="768"/>
      <c r="H239" s="1252" t="s">
        <v>685</v>
      </c>
      <c r="I239" s="1253">
        <v>1200000</v>
      </c>
      <c r="J239" s="1180">
        <v>1</v>
      </c>
      <c r="K239" s="1178" t="s">
        <v>467</v>
      </c>
      <c r="L239" s="1113"/>
      <c r="M239" s="1254" t="s">
        <v>126</v>
      </c>
      <c r="N239" s="1255">
        <f t="shared" si="32"/>
        <v>1200000</v>
      </c>
      <c r="P239" s="539">
        <f t="shared" si="26"/>
        <v>0</v>
      </c>
      <c r="Q239" s="539">
        <f t="shared" si="27"/>
        <v>1200000</v>
      </c>
      <c r="R239" s="539">
        <f t="shared" si="28"/>
        <v>0</v>
      </c>
      <c r="S239" s="539">
        <f t="shared" si="25"/>
        <v>0</v>
      </c>
      <c r="T239" s="539">
        <f t="shared" si="30"/>
        <v>0</v>
      </c>
      <c r="U239" s="539">
        <f t="shared" si="31"/>
        <v>0</v>
      </c>
      <c r="V239" s="539">
        <f t="shared" si="33"/>
        <v>0</v>
      </c>
    </row>
    <row r="240" spans="1:22" s="540" customFormat="1" ht="21" customHeight="1" thickBot="1">
      <c r="A240" s="768"/>
      <c r="B240" s="768"/>
      <c r="C240" s="776" t="s">
        <v>194</v>
      </c>
      <c r="D240" s="766">
        <v>8111620</v>
      </c>
      <c r="E240" s="570">
        <v>7850000</v>
      </c>
      <c r="F240" s="578">
        <f>N240</f>
        <v>8029600</v>
      </c>
      <c r="G240" s="570">
        <f>F240-E240</f>
        <v>179600</v>
      </c>
      <c r="H240" s="1256" t="s">
        <v>194</v>
      </c>
      <c r="I240" s="1257"/>
      <c r="J240" s="1211"/>
      <c r="K240" s="1211"/>
      <c r="L240" s="1190"/>
      <c r="M240" s="1258"/>
      <c r="N240" s="1259">
        <f>SUM(N241:N247)</f>
        <v>8029600</v>
      </c>
      <c r="P240" s="540">
        <f t="shared" ref="P240:V240" si="34">SUM(P241:P247)</f>
        <v>3850000</v>
      </c>
      <c r="Q240" s="540">
        <f t="shared" si="34"/>
        <v>79600</v>
      </c>
      <c r="R240" s="540">
        <f t="shared" si="34"/>
        <v>1700000</v>
      </c>
      <c r="S240" s="540">
        <f t="shared" si="34"/>
        <v>0</v>
      </c>
      <c r="T240" s="540">
        <f t="shared" si="34"/>
        <v>2400000</v>
      </c>
      <c r="U240" s="540">
        <f t="shared" si="34"/>
        <v>0</v>
      </c>
      <c r="V240" s="540">
        <f t="shared" si="34"/>
        <v>0</v>
      </c>
    </row>
    <row r="241" spans="1:22" s="540" customFormat="1" ht="21" customHeight="1">
      <c r="A241" s="768"/>
      <c r="B241" s="768"/>
      <c r="C241" s="777"/>
      <c r="D241" s="775"/>
      <c r="E241" s="775"/>
      <c r="F241" s="775"/>
      <c r="G241" s="778">
        <f t="shared" ref="G241:G247" si="35">F241-E241</f>
        <v>0</v>
      </c>
      <c r="H241" s="1570" t="s">
        <v>470</v>
      </c>
      <c r="I241" s="1223">
        <v>300000</v>
      </c>
      <c r="J241" s="1054">
        <v>10</v>
      </c>
      <c r="K241" s="1053" t="s">
        <v>453</v>
      </c>
      <c r="L241" s="1053"/>
      <c r="M241" s="1224" t="s">
        <v>33</v>
      </c>
      <c r="N241" s="1124">
        <f t="shared" ref="N241:N247" si="36">I241*J241</f>
        <v>3000000</v>
      </c>
      <c r="P241" s="539">
        <f t="shared" si="26"/>
        <v>3000000</v>
      </c>
      <c r="Q241" s="539">
        <f t="shared" si="27"/>
        <v>0</v>
      </c>
      <c r="R241" s="539">
        <f t="shared" si="28"/>
        <v>0</v>
      </c>
      <c r="S241" s="539">
        <f t="shared" si="25"/>
        <v>0</v>
      </c>
      <c r="T241" s="539">
        <f t="shared" ref="T241:T247" si="37">IF($M241="비지정후원금",$N241,0)</f>
        <v>0</v>
      </c>
      <c r="U241" s="539">
        <f t="shared" ref="U241:U247" si="38">IF(OR($M241="수익사업"),$N241,0)</f>
        <v>0</v>
      </c>
      <c r="V241" s="539">
        <f t="shared" ref="V241:V247" si="39">IF(OR($M241="잡수입"),$N241,0)</f>
        <v>0</v>
      </c>
    </row>
    <row r="242" spans="1:22" s="540" customFormat="1" ht="21" customHeight="1">
      <c r="A242" s="768"/>
      <c r="B242" s="768"/>
      <c r="C242" s="777"/>
      <c r="D242" s="775"/>
      <c r="E242" s="775"/>
      <c r="F242" s="775"/>
      <c r="G242" s="778">
        <f t="shared" si="35"/>
        <v>0</v>
      </c>
      <c r="H242" s="1599"/>
      <c r="I242" s="1221">
        <v>300000</v>
      </c>
      <c r="J242" s="1180">
        <v>5</v>
      </c>
      <c r="K242" s="1001" t="s">
        <v>455</v>
      </c>
      <c r="L242" s="1001"/>
      <c r="M242" s="1222" t="s">
        <v>459</v>
      </c>
      <c r="N242" s="1260">
        <f t="shared" si="36"/>
        <v>1500000</v>
      </c>
      <c r="P242" s="539">
        <f t="shared" si="26"/>
        <v>0</v>
      </c>
      <c r="Q242" s="539">
        <f t="shared" si="27"/>
        <v>0</v>
      </c>
      <c r="R242" s="539">
        <f t="shared" si="28"/>
        <v>1500000</v>
      </c>
      <c r="S242" s="539">
        <f t="shared" si="25"/>
        <v>0</v>
      </c>
      <c r="T242" s="539">
        <f t="shared" si="37"/>
        <v>0</v>
      </c>
      <c r="U242" s="539">
        <f t="shared" si="38"/>
        <v>0</v>
      </c>
      <c r="V242" s="539">
        <f t="shared" si="39"/>
        <v>0</v>
      </c>
    </row>
    <row r="243" spans="1:22" s="540" customFormat="1" ht="21" customHeight="1">
      <c r="A243" s="768"/>
      <c r="B243" s="768"/>
      <c r="C243" s="777"/>
      <c r="D243" s="775"/>
      <c r="E243" s="775"/>
      <c r="F243" s="775"/>
      <c r="G243" s="778"/>
      <c r="H243" s="1599"/>
      <c r="I243" s="1221">
        <v>79600</v>
      </c>
      <c r="J243" s="1180">
        <v>1</v>
      </c>
      <c r="K243" s="1001" t="s">
        <v>455</v>
      </c>
      <c r="L243" s="1001"/>
      <c r="M243" s="1222" t="s">
        <v>126</v>
      </c>
      <c r="N243" s="1260">
        <f t="shared" si="36"/>
        <v>79600</v>
      </c>
      <c r="P243" s="539">
        <f t="shared" si="26"/>
        <v>0</v>
      </c>
      <c r="Q243" s="539">
        <f t="shared" si="27"/>
        <v>79600</v>
      </c>
      <c r="R243" s="539">
        <f t="shared" si="28"/>
        <v>0</v>
      </c>
      <c r="S243" s="539">
        <f t="shared" si="25"/>
        <v>0</v>
      </c>
      <c r="T243" s="539">
        <f t="shared" si="37"/>
        <v>0</v>
      </c>
      <c r="U243" s="539">
        <f t="shared" si="38"/>
        <v>0</v>
      </c>
      <c r="V243" s="539">
        <f t="shared" si="39"/>
        <v>0</v>
      </c>
    </row>
    <row r="244" spans="1:22" s="540" customFormat="1" ht="21" customHeight="1">
      <c r="A244" s="768"/>
      <c r="B244" s="768"/>
      <c r="C244" s="777"/>
      <c r="D244" s="775"/>
      <c r="E244" s="775"/>
      <c r="F244" s="775"/>
      <c r="G244" s="778">
        <f t="shared" si="35"/>
        <v>0</v>
      </c>
      <c r="H244" s="1571"/>
      <c r="I244" s="1229">
        <v>300000</v>
      </c>
      <c r="J244" s="1061">
        <v>8</v>
      </c>
      <c r="K244" s="998" t="s">
        <v>455</v>
      </c>
      <c r="L244" s="998"/>
      <c r="M244" s="1230" t="s">
        <v>209</v>
      </c>
      <c r="N244" s="1260">
        <f t="shared" si="36"/>
        <v>2400000</v>
      </c>
      <c r="P244" s="539">
        <f t="shared" si="26"/>
        <v>0</v>
      </c>
      <c r="Q244" s="539">
        <f t="shared" si="27"/>
        <v>0</v>
      </c>
      <c r="R244" s="539">
        <f t="shared" si="28"/>
        <v>0</v>
      </c>
      <c r="S244" s="539">
        <f t="shared" si="25"/>
        <v>0</v>
      </c>
      <c r="T244" s="539">
        <f t="shared" si="37"/>
        <v>2400000</v>
      </c>
      <c r="U244" s="539">
        <f t="shared" si="38"/>
        <v>0</v>
      </c>
      <c r="V244" s="539">
        <f t="shared" si="39"/>
        <v>0</v>
      </c>
    </row>
    <row r="245" spans="1:22" s="540" customFormat="1" ht="21" customHeight="1">
      <c r="A245" s="768"/>
      <c r="B245" s="768"/>
      <c r="C245" s="777"/>
      <c r="D245" s="775"/>
      <c r="E245" s="775"/>
      <c r="F245" s="775"/>
      <c r="G245" s="778">
        <f t="shared" si="35"/>
        <v>0</v>
      </c>
      <c r="H245" s="1225" t="s">
        <v>471</v>
      </c>
      <c r="I245" s="1226">
        <v>70000</v>
      </c>
      <c r="J245" s="1072">
        <v>10</v>
      </c>
      <c r="K245" s="1000" t="s">
        <v>455</v>
      </c>
      <c r="L245" s="1000"/>
      <c r="M245" s="1227" t="s">
        <v>33</v>
      </c>
      <c r="N245" s="1003">
        <f t="shared" si="36"/>
        <v>700000</v>
      </c>
      <c r="P245" s="539">
        <f t="shared" si="26"/>
        <v>700000</v>
      </c>
      <c r="Q245" s="539">
        <f t="shared" si="27"/>
        <v>0</v>
      </c>
      <c r="R245" s="539">
        <f t="shared" si="28"/>
        <v>0</v>
      </c>
      <c r="S245" s="539">
        <f t="shared" si="25"/>
        <v>0</v>
      </c>
      <c r="T245" s="539">
        <f t="shared" si="37"/>
        <v>0</v>
      </c>
      <c r="U245" s="539">
        <f t="shared" si="38"/>
        <v>0</v>
      </c>
      <c r="V245" s="539">
        <f t="shared" si="39"/>
        <v>0</v>
      </c>
    </row>
    <row r="246" spans="1:22" s="540" customFormat="1" ht="21" customHeight="1">
      <c r="A246" s="768"/>
      <c r="B246" s="768"/>
      <c r="C246" s="777"/>
      <c r="D246" s="775"/>
      <c r="E246" s="775"/>
      <c r="F246" s="775"/>
      <c r="G246" s="778">
        <f t="shared" si="35"/>
        <v>0</v>
      </c>
      <c r="H246" s="1078" t="s">
        <v>716</v>
      </c>
      <c r="I246" s="1218">
        <v>150000</v>
      </c>
      <c r="J246" s="1067">
        <v>1</v>
      </c>
      <c r="K246" s="1066" t="s">
        <v>455</v>
      </c>
      <c r="L246" s="1066"/>
      <c r="M246" s="1219" t="s">
        <v>33</v>
      </c>
      <c r="N246" s="1130">
        <f t="shared" si="36"/>
        <v>150000</v>
      </c>
      <c r="P246" s="539">
        <f t="shared" si="26"/>
        <v>150000</v>
      </c>
      <c r="Q246" s="539">
        <f t="shared" si="27"/>
        <v>0</v>
      </c>
      <c r="R246" s="539">
        <f t="shared" si="28"/>
        <v>0</v>
      </c>
      <c r="S246" s="539">
        <f t="shared" si="25"/>
        <v>0</v>
      </c>
      <c r="T246" s="539">
        <f t="shared" si="37"/>
        <v>0</v>
      </c>
      <c r="U246" s="539">
        <f t="shared" si="38"/>
        <v>0</v>
      </c>
      <c r="V246" s="539">
        <f t="shared" si="39"/>
        <v>0</v>
      </c>
    </row>
    <row r="247" spans="1:22" s="540" customFormat="1" ht="21" customHeight="1" thickBot="1">
      <c r="A247" s="768"/>
      <c r="B247" s="768"/>
      <c r="C247" s="768"/>
      <c r="D247" s="775"/>
      <c r="E247" s="775"/>
      <c r="F247" s="775"/>
      <c r="G247" s="778">
        <f t="shared" si="35"/>
        <v>0</v>
      </c>
      <c r="H247" s="1071" t="s">
        <v>622</v>
      </c>
      <c r="I247" s="1244">
        <v>200000</v>
      </c>
      <c r="J247" s="1057">
        <v>1</v>
      </c>
      <c r="K247" s="1000" t="s">
        <v>455</v>
      </c>
      <c r="L247" s="1056"/>
      <c r="M247" s="1261" t="s">
        <v>459</v>
      </c>
      <c r="N247" s="1122">
        <f t="shared" si="36"/>
        <v>200000</v>
      </c>
      <c r="P247" s="539">
        <f t="shared" si="26"/>
        <v>0</v>
      </c>
      <c r="Q247" s="539">
        <f t="shared" si="27"/>
        <v>0</v>
      </c>
      <c r="R247" s="539">
        <f t="shared" si="28"/>
        <v>200000</v>
      </c>
      <c r="S247" s="539">
        <f t="shared" si="25"/>
        <v>0</v>
      </c>
      <c r="T247" s="539">
        <f t="shared" si="37"/>
        <v>0</v>
      </c>
      <c r="U247" s="539">
        <f t="shared" si="38"/>
        <v>0</v>
      </c>
      <c r="V247" s="539">
        <f t="shared" si="39"/>
        <v>0</v>
      </c>
    </row>
    <row r="248" spans="1:22" s="540" customFormat="1" ht="21" customHeight="1" thickBot="1">
      <c r="A248" s="768"/>
      <c r="B248" s="768"/>
      <c r="C248" s="570" t="s">
        <v>195</v>
      </c>
      <c r="D248" s="766">
        <v>541210</v>
      </c>
      <c r="E248" s="570">
        <v>626488</v>
      </c>
      <c r="F248" s="766">
        <f t="shared" ref="F248" si="40">SUM(F249:F251)</f>
        <v>550000</v>
      </c>
      <c r="G248" s="570">
        <f>F248-E248</f>
        <v>-76488</v>
      </c>
      <c r="H248" s="1262" t="s">
        <v>195</v>
      </c>
      <c r="I248" s="1263"/>
      <c r="J248" s="1264"/>
      <c r="K248" s="1265"/>
      <c r="L248" s="1265"/>
      <c r="M248" s="1266"/>
      <c r="N248" s="1267">
        <f>SUM(N249:N251)</f>
        <v>550000</v>
      </c>
      <c r="P248" s="539">
        <f>SUM(P249:P251)</f>
        <v>0</v>
      </c>
      <c r="Q248" s="539">
        <f t="shared" ref="Q248:U248" si="41">SUM(Q249:Q251)</f>
        <v>50000</v>
      </c>
      <c r="R248" s="539">
        <f t="shared" si="41"/>
        <v>500000</v>
      </c>
      <c r="S248" s="539">
        <f t="shared" si="41"/>
        <v>0</v>
      </c>
      <c r="T248" s="539">
        <f t="shared" si="41"/>
        <v>0</v>
      </c>
      <c r="U248" s="539">
        <f t="shared" si="41"/>
        <v>0</v>
      </c>
      <c r="V248" s="540">
        <f t="shared" ref="V248:V312" si="42">IF(OR($M248="잡수입"),$N248,0)</f>
        <v>0</v>
      </c>
    </row>
    <row r="249" spans="1:22" s="540" customFormat="1" ht="21" customHeight="1">
      <c r="A249" s="768"/>
      <c r="B249" s="768"/>
      <c r="C249" s="768"/>
      <c r="D249" s="778"/>
      <c r="E249" s="778"/>
      <c r="F249" s="778"/>
      <c r="G249" s="778">
        <f t="shared" ref="G249:G250" si="43">F249-E249</f>
        <v>0</v>
      </c>
      <c r="H249" s="1268" t="s">
        <v>480</v>
      </c>
      <c r="I249" s="1269">
        <f>SUM(I250:I251)</f>
        <v>550000</v>
      </c>
      <c r="J249" s="1063"/>
      <c r="K249" s="1001"/>
      <c r="L249" s="1001"/>
      <c r="M249" s="1270"/>
      <c r="N249" s="1131">
        <f t="shared" ref="N249:N253" si="44">I249*J249</f>
        <v>0</v>
      </c>
      <c r="O249" s="541" t="s">
        <v>526</v>
      </c>
      <c r="P249" s="539">
        <f t="shared" si="26"/>
        <v>0</v>
      </c>
      <c r="Q249" s="539">
        <f t="shared" si="27"/>
        <v>0</v>
      </c>
      <c r="R249" s="539">
        <f t="shared" si="28"/>
        <v>0</v>
      </c>
      <c r="S249" s="539">
        <f t="shared" si="25"/>
        <v>0</v>
      </c>
      <c r="T249" s="539">
        <f t="shared" si="30"/>
        <v>0</v>
      </c>
      <c r="U249" s="539">
        <f t="shared" si="31"/>
        <v>0</v>
      </c>
      <c r="V249" s="540">
        <f t="shared" si="42"/>
        <v>0</v>
      </c>
    </row>
    <row r="250" spans="1:22" s="540" customFormat="1" ht="21" customHeight="1">
      <c r="A250" s="768"/>
      <c r="B250" s="768"/>
      <c r="C250" s="768"/>
      <c r="D250" s="778">
        <v>541210</v>
      </c>
      <c r="E250" s="778">
        <v>575998</v>
      </c>
      <c r="F250" s="778">
        <f>N250</f>
        <v>500000</v>
      </c>
      <c r="G250" s="778">
        <f t="shared" si="43"/>
        <v>-75998</v>
      </c>
      <c r="H250" s="1070" t="s">
        <v>195</v>
      </c>
      <c r="I250" s="1221">
        <v>500000</v>
      </c>
      <c r="J250" s="1063">
        <v>1</v>
      </c>
      <c r="K250" s="1001" t="s">
        <v>467</v>
      </c>
      <c r="L250" s="1001"/>
      <c r="M250" s="1270" t="s">
        <v>459</v>
      </c>
      <c r="N250" s="1260">
        <f t="shared" si="44"/>
        <v>500000</v>
      </c>
      <c r="P250" s="539">
        <f t="shared" si="26"/>
        <v>0</v>
      </c>
      <c r="Q250" s="539">
        <f t="shared" si="27"/>
        <v>0</v>
      </c>
      <c r="R250" s="539">
        <f t="shared" si="28"/>
        <v>500000</v>
      </c>
      <c r="S250" s="539">
        <f t="shared" si="25"/>
        <v>0</v>
      </c>
      <c r="T250" s="539">
        <f t="shared" si="30"/>
        <v>0</v>
      </c>
      <c r="U250" s="539">
        <f t="shared" si="31"/>
        <v>0</v>
      </c>
      <c r="V250" s="540">
        <f t="shared" si="42"/>
        <v>0</v>
      </c>
    </row>
    <row r="251" spans="1:22" s="540" customFormat="1" ht="21" customHeight="1" thickBot="1">
      <c r="A251" s="768"/>
      <c r="B251" s="768"/>
      <c r="C251" s="768"/>
      <c r="D251" s="775"/>
      <c r="E251" s="778">
        <v>50490</v>
      </c>
      <c r="F251" s="778">
        <f>N251</f>
        <v>50000</v>
      </c>
      <c r="G251" s="778">
        <f>F251-E251</f>
        <v>-490</v>
      </c>
      <c r="H251" s="1071" t="s">
        <v>195</v>
      </c>
      <c r="I251" s="1226">
        <v>50000</v>
      </c>
      <c r="J251" s="1072">
        <v>1</v>
      </c>
      <c r="K251" s="1000" t="s">
        <v>467</v>
      </c>
      <c r="L251" s="1000"/>
      <c r="M251" s="1271" t="s">
        <v>126</v>
      </c>
      <c r="N251" s="1122">
        <f t="shared" si="44"/>
        <v>50000</v>
      </c>
      <c r="P251" s="539">
        <f t="shared" si="26"/>
        <v>0</v>
      </c>
      <c r="Q251" s="539">
        <f t="shared" si="27"/>
        <v>50000</v>
      </c>
      <c r="R251" s="539">
        <f t="shared" si="28"/>
        <v>0</v>
      </c>
      <c r="S251" s="539">
        <f t="shared" si="25"/>
        <v>0</v>
      </c>
      <c r="T251" s="539">
        <f t="shared" si="30"/>
        <v>0</v>
      </c>
      <c r="U251" s="539">
        <f t="shared" si="31"/>
        <v>0</v>
      </c>
      <c r="V251" s="540">
        <f t="shared" si="42"/>
        <v>0</v>
      </c>
    </row>
    <row r="252" spans="1:22" s="540" customFormat="1" ht="21" customHeight="1" thickBot="1">
      <c r="A252" s="768"/>
      <c r="B252" s="768"/>
      <c r="C252" s="570" t="s">
        <v>479</v>
      </c>
      <c r="D252" s="766">
        <f>SUM(D253:D254)</f>
        <v>2900000</v>
      </c>
      <c r="E252" s="570">
        <v>2900000</v>
      </c>
      <c r="F252" s="766">
        <f>SUM(F253:F254)</f>
        <v>2900000</v>
      </c>
      <c r="G252" s="570">
        <f>F252-E252</f>
        <v>0</v>
      </c>
      <c r="H252" s="1262" t="s">
        <v>479</v>
      </c>
      <c r="I252" s="1263"/>
      <c r="J252" s="1264"/>
      <c r="K252" s="1265"/>
      <c r="L252" s="1265"/>
      <c r="M252" s="1266"/>
      <c r="N252" s="1267">
        <f>SUM(N253:N254)</f>
        <v>2900000</v>
      </c>
      <c r="P252" s="539">
        <f>SUM(P253:P254)</f>
        <v>0</v>
      </c>
      <c r="Q252" s="539">
        <f t="shared" ref="Q252:U252" si="45">SUM(Q253:Q254)</f>
        <v>0</v>
      </c>
      <c r="R252" s="539">
        <f t="shared" si="45"/>
        <v>2900000</v>
      </c>
      <c r="S252" s="539">
        <f t="shared" si="45"/>
        <v>0</v>
      </c>
      <c r="T252" s="539">
        <f t="shared" si="45"/>
        <v>0</v>
      </c>
      <c r="U252" s="539">
        <f t="shared" si="45"/>
        <v>0</v>
      </c>
      <c r="V252" s="540">
        <f t="shared" si="42"/>
        <v>0</v>
      </c>
    </row>
    <row r="253" spans="1:22" s="540" customFormat="1" ht="21" customHeight="1">
      <c r="A253" s="768"/>
      <c r="B253" s="768"/>
      <c r="C253" s="768"/>
      <c r="D253" s="778">
        <v>2900000</v>
      </c>
      <c r="E253" s="778">
        <v>2900000</v>
      </c>
      <c r="F253" s="778">
        <f>I253</f>
        <v>2900000</v>
      </c>
      <c r="G253" s="778">
        <f t="shared" ref="G253:G254" si="46">F253-E253</f>
        <v>0</v>
      </c>
      <c r="H253" s="1070" t="s">
        <v>479</v>
      </c>
      <c r="I253" s="1221">
        <v>2900000</v>
      </c>
      <c r="J253" s="1063">
        <v>1</v>
      </c>
      <c r="K253" s="1001" t="s">
        <v>467</v>
      </c>
      <c r="L253" s="1001"/>
      <c r="M253" s="1270" t="s">
        <v>459</v>
      </c>
      <c r="N253" s="1131">
        <f t="shared" si="44"/>
        <v>2900000</v>
      </c>
      <c r="P253" s="539">
        <f t="shared" si="26"/>
        <v>0</v>
      </c>
      <c r="Q253" s="539">
        <f t="shared" si="27"/>
        <v>0</v>
      </c>
      <c r="R253" s="539">
        <f t="shared" si="28"/>
        <v>2900000</v>
      </c>
      <c r="S253" s="539">
        <f t="shared" si="25"/>
        <v>0</v>
      </c>
      <c r="T253" s="539">
        <f t="shared" si="30"/>
        <v>0</v>
      </c>
      <c r="U253" s="539">
        <f t="shared" si="31"/>
        <v>0</v>
      </c>
      <c r="V253" s="540">
        <f t="shared" si="42"/>
        <v>0</v>
      </c>
    </row>
    <row r="254" spans="1:22" s="540" customFormat="1" ht="21" customHeight="1" thickBot="1">
      <c r="A254" s="768"/>
      <c r="B254" s="768"/>
      <c r="C254" s="768"/>
      <c r="D254" s="775"/>
      <c r="E254" s="775"/>
      <c r="F254" s="775"/>
      <c r="G254" s="778">
        <f t="shared" si="46"/>
        <v>0</v>
      </c>
      <c r="H254" s="1272"/>
      <c r="I254" s="1233"/>
      <c r="J254" s="1180"/>
      <c r="K254" s="1178"/>
      <c r="L254" s="1178"/>
      <c r="M254" s="1273"/>
      <c r="N254" s="1122"/>
      <c r="P254" s="539">
        <f t="shared" si="26"/>
        <v>0</v>
      </c>
      <c r="Q254" s="539">
        <f t="shared" si="27"/>
        <v>0</v>
      </c>
      <c r="R254" s="539">
        <f t="shared" si="28"/>
        <v>0</v>
      </c>
      <c r="S254" s="539">
        <f t="shared" si="25"/>
        <v>0</v>
      </c>
      <c r="T254" s="539">
        <f t="shared" si="30"/>
        <v>0</v>
      </c>
      <c r="U254" s="539">
        <f t="shared" si="31"/>
        <v>0</v>
      </c>
      <c r="V254" s="540">
        <f t="shared" si="42"/>
        <v>0</v>
      </c>
    </row>
    <row r="255" spans="1:22" s="540" customFormat="1" ht="21" customHeight="1" thickBot="1">
      <c r="A255" s="768"/>
      <c r="B255" s="570" t="s">
        <v>185</v>
      </c>
      <c r="C255" s="570"/>
      <c r="D255" s="727">
        <f>D256+D259</f>
        <v>4850000</v>
      </c>
      <c r="E255" s="766">
        <v>5640000</v>
      </c>
      <c r="F255" s="766">
        <f>SUM(F256+F259)</f>
        <v>5090200</v>
      </c>
      <c r="G255" s="571">
        <f>F255-E255</f>
        <v>-549800</v>
      </c>
      <c r="H255" s="1262"/>
      <c r="I255" s="1263"/>
      <c r="J255" s="1264"/>
      <c r="K255" s="1265"/>
      <c r="L255" s="1265"/>
      <c r="M255" s="1266"/>
      <c r="N255" s="1267">
        <f>N256+N259</f>
        <v>5090200</v>
      </c>
      <c r="P255" s="539">
        <f>P256+P259</f>
        <v>0</v>
      </c>
      <c r="Q255" s="539">
        <f t="shared" ref="Q255:U255" si="47">Q256+Q259</f>
        <v>550200</v>
      </c>
      <c r="R255" s="539">
        <f t="shared" si="47"/>
        <v>4540000</v>
      </c>
      <c r="S255" s="539">
        <f t="shared" si="47"/>
        <v>0</v>
      </c>
      <c r="T255" s="539">
        <f t="shared" si="47"/>
        <v>0</v>
      </c>
      <c r="U255" s="539">
        <f t="shared" si="47"/>
        <v>0</v>
      </c>
      <c r="V255" s="540">
        <f t="shared" si="42"/>
        <v>0</v>
      </c>
    </row>
    <row r="256" spans="1:22" s="540" customFormat="1" ht="21" customHeight="1" thickBot="1">
      <c r="A256" s="768"/>
      <c r="B256" s="768"/>
      <c r="C256" s="570" t="s">
        <v>186</v>
      </c>
      <c r="D256" s="766">
        <v>3600000</v>
      </c>
      <c r="E256" s="570">
        <v>3600000</v>
      </c>
      <c r="F256" s="766">
        <f>SUM(F257:F258)</f>
        <v>3700200</v>
      </c>
      <c r="G256" s="570">
        <f>F256-E256</f>
        <v>100200</v>
      </c>
      <c r="H256" s="1262" t="s">
        <v>186</v>
      </c>
      <c r="I256" s="1263"/>
      <c r="J256" s="1264"/>
      <c r="K256" s="1265"/>
      <c r="L256" s="1265"/>
      <c r="M256" s="1266"/>
      <c r="N256" s="1267">
        <f>SUM(N257:N258)</f>
        <v>3700200</v>
      </c>
      <c r="P256" s="539">
        <f>SUM(P257:P258)</f>
        <v>0</v>
      </c>
      <c r="Q256" s="539">
        <f t="shared" ref="Q256:U256" si="48">SUM(Q257:Q258)</f>
        <v>100200</v>
      </c>
      <c r="R256" s="539">
        <f t="shared" si="48"/>
        <v>3600000</v>
      </c>
      <c r="S256" s="539">
        <f t="shared" si="48"/>
        <v>0</v>
      </c>
      <c r="T256" s="539">
        <f t="shared" si="48"/>
        <v>0</v>
      </c>
      <c r="U256" s="539">
        <f t="shared" si="48"/>
        <v>0</v>
      </c>
      <c r="V256" s="540">
        <f t="shared" si="42"/>
        <v>0</v>
      </c>
    </row>
    <row r="257" spans="1:22" s="540" customFormat="1" ht="21" customHeight="1">
      <c r="A257" s="768"/>
      <c r="B257" s="768"/>
      <c r="C257" s="779" t="s">
        <v>186</v>
      </c>
      <c r="D257" s="780">
        <v>3600000</v>
      </c>
      <c r="E257" s="778">
        <v>3600000</v>
      </c>
      <c r="F257" s="778">
        <f>N257</f>
        <v>3600000</v>
      </c>
      <c r="G257" s="778">
        <f t="shared" ref="G257:G258" si="49">F257-E257</f>
        <v>0</v>
      </c>
      <c r="H257" s="1274" t="s">
        <v>186</v>
      </c>
      <c r="I257" s="1215">
        <v>300000</v>
      </c>
      <c r="J257" s="1117">
        <v>12</v>
      </c>
      <c r="K257" s="1118" t="s">
        <v>453</v>
      </c>
      <c r="L257" s="1118"/>
      <c r="M257" s="1275" t="s">
        <v>459</v>
      </c>
      <c r="N257" s="1131">
        <f t="shared" ref="N257:N258" si="50">I257*J257</f>
        <v>3600000</v>
      </c>
      <c r="P257" s="539">
        <f t="shared" ref="P257:P258" si="51">IF($M257="보조금",$N257,0)</f>
        <v>0</v>
      </c>
      <c r="Q257" s="539">
        <f t="shared" ref="Q257:Q258" si="52">IF($M257="법인전입금",$N257,0)</f>
        <v>0</v>
      </c>
      <c r="R257" s="539">
        <f t="shared" ref="R257:R258" si="53">IF($M257="구법인",$N257,0)</f>
        <v>3600000</v>
      </c>
      <c r="S257" s="539">
        <f t="shared" ref="S257:S258" si="54">IF($M257="지정후원금",$N257,0)</f>
        <v>0</v>
      </c>
      <c r="T257" s="539">
        <f t="shared" ref="T257:T258" si="55">IF($M257="비지정후원금",$N257,0)</f>
        <v>0</v>
      </c>
      <c r="U257" s="539">
        <f t="shared" ref="U257:U258" si="56">IF(OR($M257="수익사업"),$N257,0)</f>
        <v>0</v>
      </c>
      <c r="V257" s="539">
        <f t="shared" si="42"/>
        <v>0</v>
      </c>
    </row>
    <row r="258" spans="1:22" s="540" customFormat="1" ht="21" customHeight="1" thickBot="1">
      <c r="A258" s="768"/>
      <c r="B258" s="768"/>
      <c r="C258" s="774"/>
      <c r="D258" s="765"/>
      <c r="E258" s="765"/>
      <c r="F258" s="778">
        <f>N258</f>
        <v>100200</v>
      </c>
      <c r="G258" s="778">
        <f t="shared" si="49"/>
        <v>100200</v>
      </c>
      <c r="H258" s="1276" t="s">
        <v>186</v>
      </c>
      <c r="I258" s="1277">
        <v>100200</v>
      </c>
      <c r="J258" s="1081">
        <v>1</v>
      </c>
      <c r="K258" s="1080" t="s">
        <v>455</v>
      </c>
      <c r="L258" s="1080"/>
      <c r="M258" s="1278" t="s">
        <v>126</v>
      </c>
      <c r="N258" s="1131">
        <f t="shared" si="50"/>
        <v>100200</v>
      </c>
      <c r="P258" s="539">
        <f t="shared" si="51"/>
        <v>0</v>
      </c>
      <c r="Q258" s="539">
        <f t="shared" si="52"/>
        <v>100200</v>
      </c>
      <c r="R258" s="539">
        <f t="shared" si="53"/>
        <v>0</v>
      </c>
      <c r="S258" s="539">
        <f t="shared" si="54"/>
        <v>0</v>
      </c>
      <c r="T258" s="539">
        <f t="shared" si="55"/>
        <v>0</v>
      </c>
      <c r="U258" s="539">
        <f t="shared" si="56"/>
        <v>0</v>
      </c>
      <c r="V258" s="539">
        <f t="shared" si="42"/>
        <v>0</v>
      </c>
    </row>
    <row r="259" spans="1:22" s="540" customFormat="1" ht="21" customHeight="1" thickBot="1">
      <c r="A259" s="768"/>
      <c r="B259" s="768"/>
      <c r="C259" s="570" t="s">
        <v>187</v>
      </c>
      <c r="D259" s="766">
        <v>1250000</v>
      </c>
      <c r="E259" s="570">
        <v>2040000</v>
      </c>
      <c r="F259" s="766">
        <f t="shared" ref="F259" si="57">SUM(F260:F262)</f>
        <v>1390000</v>
      </c>
      <c r="G259" s="570">
        <f>F259-E259</f>
        <v>-650000</v>
      </c>
      <c r="H259" s="1279"/>
      <c r="I259" s="1263"/>
      <c r="J259" s="1264"/>
      <c r="K259" s="1265"/>
      <c r="L259" s="1265"/>
      <c r="M259" s="1266"/>
      <c r="N259" s="1267">
        <f>SUM(N260:N262)</f>
        <v>1390000</v>
      </c>
      <c r="P259" s="539">
        <f t="shared" ref="P259:U259" si="58">SUM(P260:P262)</f>
        <v>0</v>
      </c>
      <c r="Q259" s="539">
        <f t="shared" si="58"/>
        <v>450000</v>
      </c>
      <c r="R259" s="539">
        <f t="shared" si="58"/>
        <v>940000</v>
      </c>
      <c r="S259" s="539">
        <f t="shared" si="58"/>
        <v>0</v>
      </c>
      <c r="T259" s="539">
        <f t="shared" si="58"/>
        <v>0</v>
      </c>
      <c r="U259" s="539">
        <f t="shared" si="58"/>
        <v>0</v>
      </c>
      <c r="V259" s="540">
        <f t="shared" si="42"/>
        <v>0</v>
      </c>
    </row>
    <row r="260" spans="1:22" s="540" customFormat="1" ht="21" customHeight="1">
      <c r="A260" s="768"/>
      <c r="B260" s="768"/>
      <c r="C260" s="672" t="s">
        <v>187</v>
      </c>
      <c r="D260" s="778"/>
      <c r="E260" s="778"/>
      <c r="F260" s="778">
        <f t="shared" ref="F260:F262" si="59">N260</f>
        <v>0</v>
      </c>
      <c r="G260" s="778">
        <f t="shared" ref="G260:G262" si="60">F260-E260</f>
        <v>0</v>
      </c>
      <c r="H260" s="1268" t="s">
        <v>481</v>
      </c>
      <c r="I260" s="1269">
        <f>SUM(I261:I262)</f>
        <v>1390000</v>
      </c>
      <c r="J260" s="1063"/>
      <c r="K260" s="1001"/>
      <c r="L260" s="1001"/>
      <c r="M260" s="1270"/>
      <c r="N260" s="1131"/>
      <c r="P260" s="539">
        <f t="shared" ref="P260:P262" si="61">IF($M260="보조금",$N260,0)</f>
        <v>0</v>
      </c>
      <c r="Q260" s="539">
        <f t="shared" ref="Q260:Q262" si="62">IF($M260="법인전입금",$N260,0)</f>
        <v>0</v>
      </c>
      <c r="R260" s="539">
        <f t="shared" ref="R260:R262" si="63">IF($M260="구법인",$N260,0)</f>
        <v>0</v>
      </c>
      <c r="S260" s="539">
        <f t="shared" ref="S260:S262" si="64">IF($M260="지정후원금",$N260,0)</f>
        <v>0</v>
      </c>
      <c r="T260" s="539">
        <f t="shared" ref="T260:T262" si="65">IF($M260="비지정후원금",$N260,0)</f>
        <v>0</v>
      </c>
      <c r="U260" s="539">
        <f t="shared" ref="U260:U262" si="66">IF(OR($M260="수익사업"),$N260,0)</f>
        <v>0</v>
      </c>
      <c r="V260" s="539">
        <f t="shared" si="42"/>
        <v>0</v>
      </c>
    </row>
    <row r="261" spans="1:22" s="540" customFormat="1" ht="21" customHeight="1">
      <c r="A261" s="768"/>
      <c r="B261" s="768"/>
      <c r="C261" s="672"/>
      <c r="D261" s="778">
        <v>600000</v>
      </c>
      <c r="E261" s="778">
        <v>940000</v>
      </c>
      <c r="F261" s="778">
        <f t="shared" si="59"/>
        <v>940000</v>
      </c>
      <c r="G261" s="778">
        <f t="shared" si="60"/>
        <v>0</v>
      </c>
      <c r="H261" s="1272" t="s">
        <v>546</v>
      </c>
      <c r="I261" s="1233">
        <v>940000</v>
      </c>
      <c r="J261" s="1180">
        <v>1</v>
      </c>
      <c r="K261" s="1178" t="s">
        <v>467</v>
      </c>
      <c r="L261" s="1178"/>
      <c r="M261" s="1273" t="s">
        <v>459</v>
      </c>
      <c r="N261" s="1260">
        <f t="shared" ref="N261:N262" si="67">I261*J261</f>
        <v>940000</v>
      </c>
      <c r="P261" s="539">
        <f t="shared" si="61"/>
        <v>0</v>
      </c>
      <c r="Q261" s="539">
        <f t="shared" si="62"/>
        <v>0</v>
      </c>
      <c r="R261" s="539">
        <f t="shared" si="63"/>
        <v>940000</v>
      </c>
      <c r="S261" s="539">
        <f t="shared" si="64"/>
        <v>0</v>
      </c>
      <c r="T261" s="539">
        <f t="shared" si="65"/>
        <v>0</v>
      </c>
      <c r="U261" s="539">
        <f t="shared" si="66"/>
        <v>0</v>
      </c>
      <c r="V261" s="539">
        <f t="shared" si="42"/>
        <v>0</v>
      </c>
    </row>
    <row r="262" spans="1:22" s="540" customFormat="1" ht="21" customHeight="1" thickBot="1">
      <c r="A262" s="768"/>
      <c r="B262" s="768"/>
      <c r="C262" s="672"/>
      <c r="D262" s="778">
        <v>300000</v>
      </c>
      <c r="E262" s="778">
        <v>1100000</v>
      </c>
      <c r="F262" s="778">
        <f t="shared" si="59"/>
        <v>450000</v>
      </c>
      <c r="G262" s="778">
        <f t="shared" si="60"/>
        <v>-650000</v>
      </c>
      <c r="H262" s="1272" t="s">
        <v>546</v>
      </c>
      <c r="I262" s="1233">
        <v>450000</v>
      </c>
      <c r="J262" s="1180">
        <v>1</v>
      </c>
      <c r="K262" s="1178" t="s">
        <v>467</v>
      </c>
      <c r="L262" s="1178"/>
      <c r="M262" s="1273" t="s">
        <v>126</v>
      </c>
      <c r="N262" s="1260">
        <f t="shared" si="67"/>
        <v>450000</v>
      </c>
      <c r="P262" s="539">
        <f t="shared" si="61"/>
        <v>0</v>
      </c>
      <c r="Q262" s="539">
        <f t="shared" si="62"/>
        <v>450000</v>
      </c>
      <c r="R262" s="539">
        <f t="shared" si="63"/>
        <v>0</v>
      </c>
      <c r="S262" s="539">
        <f t="shared" si="64"/>
        <v>0</v>
      </c>
      <c r="T262" s="539">
        <f t="shared" si="65"/>
        <v>0</v>
      </c>
      <c r="U262" s="539">
        <f t="shared" si="66"/>
        <v>0</v>
      </c>
      <c r="V262" s="539">
        <f t="shared" si="42"/>
        <v>0</v>
      </c>
    </row>
    <row r="263" spans="1:22" s="540" customFormat="1" ht="21" customHeight="1" thickBot="1">
      <c r="A263" s="570" t="s">
        <v>196</v>
      </c>
      <c r="B263" s="570"/>
      <c r="C263" s="570"/>
      <c r="D263" s="570">
        <f>D264</f>
        <v>33400000</v>
      </c>
      <c r="E263" s="766">
        <v>35152910</v>
      </c>
      <c r="F263" s="578">
        <f t="shared" ref="F263:F264" si="68">N263</f>
        <v>35152910</v>
      </c>
      <c r="G263" s="571">
        <f>F263-E263</f>
        <v>0</v>
      </c>
      <c r="H263" s="1280"/>
      <c r="I263" s="1281"/>
      <c r="J263" s="1282"/>
      <c r="K263" s="1282"/>
      <c r="L263" s="1240"/>
      <c r="M263" s="1188"/>
      <c r="N263" s="1032">
        <f>N264</f>
        <v>35152910</v>
      </c>
      <c r="P263" s="539">
        <f>P264</f>
        <v>35152910</v>
      </c>
      <c r="Q263" s="539">
        <f t="shared" ref="Q263:U263" si="69">Q264</f>
        <v>0</v>
      </c>
      <c r="R263" s="539">
        <f t="shared" si="69"/>
        <v>0</v>
      </c>
      <c r="S263" s="539">
        <f t="shared" si="69"/>
        <v>0</v>
      </c>
      <c r="T263" s="539">
        <f t="shared" si="69"/>
        <v>0</v>
      </c>
      <c r="U263" s="539">
        <f t="shared" si="69"/>
        <v>0</v>
      </c>
      <c r="V263" s="540">
        <f t="shared" si="42"/>
        <v>0</v>
      </c>
    </row>
    <row r="264" spans="1:22" s="540" customFormat="1" ht="21" customHeight="1" thickBot="1">
      <c r="A264" s="768"/>
      <c r="B264" s="570" t="s">
        <v>197</v>
      </c>
      <c r="C264" s="570"/>
      <c r="D264" s="727">
        <f>D265+D273+D275</f>
        <v>33400000</v>
      </c>
      <c r="E264" s="766">
        <v>35152910</v>
      </c>
      <c r="F264" s="578">
        <f t="shared" si="68"/>
        <v>35152910</v>
      </c>
      <c r="G264" s="571">
        <f>F264-E264</f>
        <v>0</v>
      </c>
      <c r="H264" s="1280"/>
      <c r="I264" s="1281"/>
      <c r="J264" s="1282"/>
      <c r="K264" s="1282"/>
      <c r="L264" s="1240"/>
      <c r="M264" s="1188"/>
      <c r="N264" s="1267">
        <f>N265+N275+N273</f>
        <v>35152910</v>
      </c>
      <c r="P264" s="540">
        <f>P275+P265+P273</f>
        <v>35152910</v>
      </c>
      <c r="Q264" s="540">
        <f t="shared" ref="Q264:U264" si="70">Q275+Q265</f>
        <v>0</v>
      </c>
      <c r="R264" s="540">
        <f t="shared" si="70"/>
        <v>0</v>
      </c>
      <c r="S264" s="540">
        <f t="shared" si="70"/>
        <v>0</v>
      </c>
      <c r="T264" s="540">
        <f t="shared" si="70"/>
        <v>0</v>
      </c>
      <c r="U264" s="540">
        <f t="shared" si="70"/>
        <v>0</v>
      </c>
      <c r="V264" s="540">
        <f t="shared" si="42"/>
        <v>0</v>
      </c>
    </row>
    <row r="265" spans="1:22" s="540" customFormat="1" ht="21" customHeight="1" thickBot="1">
      <c r="A265" s="768"/>
      <c r="B265" s="768"/>
      <c r="C265" s="570" t="s">
        <v>197</v>
      </c>
      <c r="D265" s="766">
        <v>30040000</v>
      </c>
      <c r="E265" s="766">
        <v>30040000</v>
      </c>
      <c r="F265" s="766">
        <f>SUM(F266:F268)</f>
        <v>30040000</v>
      </c>
      <c r="G265" s="570">
        <f>F265-E265</f>
        <v>0</v>
      </c>
      <c r="H265" s="1280" t="s">
        <v>198</v>
      </c>
      <c r="I265" s="1281"/>
      <c r="J265" s="1282"/>
      <c r="K265" s="1282"/>
      <c r="L265" s="1240"/>
      <c r="M265" s="1188"/>
      <c r="N265" s="1267">
        <f>SUM(N266:N268)</f>
        <v>30040000</v>
      </c>
      <c r="P265" s="540">
        <f t="shared" ref="P265:U265" si="71">SUM(P266:P268)</f>
        <v>30040000</v>
      </c>
      <c r="Q265" s="540">
        <f t="shared" si="71"/>
        <v>0</v>
      </c>
      <c r="R265" s="540">
        <f t="shared" si="71"/>
        <v>0</v>
      </c>
      <c r="S265" s="540">
        <f t="shared" si="71"/>
        <v>0</v>
      </c>
      <c r="T265" s="540">
        <f t="shared" si="71"/>
        <v>0</v>
      </c>
      <c r="U265" s="540">
        <f t="shared" si="71"/>
        <v>0</v>
      </c>
      <c r="V265" s="540">
        <f t="shared" si="42"/>
        <v>0</v>
      </c>
    </row>
    <row r="266" spans="1:22" s="540" customFormat="1" ht="21" customHeight="1">
      <c r="A266" s="768"/>
      <c r="B266" s="768"/>
      <c r="C266" s="655"/>
      <c r="D266" s="778">
        <v>25740000</v>
      </c>
      <c r="E266" s="780">
        <v>25740000</v>
      </c>
      <c r="F266" s="778">
        <f t="shared" ref="F266:F267" si="72">N266</f>
        <v>25740000</v>
      </c>
      <c r="G266" s="778">
        <f t="shared" ref="G266:G267" si="73">F266-E266</f>
        <v>0</v>
      </c>
      <c r="H266" s="1095" t="s">
        <v>676</v>
      </c>
      <c r="I266" s="1283">
        <v>25740000</v>
      </c>
      <c r="J266" s="1097">
        <v>1</v>
      </c>
      <c r="K266" s="1098" t="s">
        <v>467</v>
      </c>
      <c r="L266" s="1098"/>
      <c r="M266" s="1284" t="s">
        <v>33</v>
      </c>
      <c r="N266" s="1285">
        <f>I266*J266</f>
        <v>25740000</v>
      </c>
      <c r="P266" s="539">
        <f t="shared" ref="P266:P268" si="74">IF($M266="보조금",$N266,0)</f>
        <v>25740000</v>
      </c>
      <c r="Q266" s="539">
        <f t="shared" ref="Q266:Q268" si="75">IF($M266="법인전입금",$N266,0)</f>
        <v>0</v>
      </c>
      <c r="R266" s="539">
        <f t="shared" ref="R266:R268" si="76">IF($M266="구법인",$N266,0)</f>
        <v>0</v>
      </c>
      <c r="S266" s="539">
        <f t="shared" ref="S266:S268" si="77">IF($M266="지정후원금",$N266,0)</f>
        <v>0</v>
      </c>
      <c r="T266" s="539">
        <f t="shared" ref="T266:T268" si="78">IF($M266="비지정후원금",$N266,0)</f>
        <v>0</v>
      </c>
      <c r="U266" s="539">
        <f t="shared" ref="U266:U268" si="79">IF(OR($M266="수익사업"),$N266,0)</f>
        <v>0</v>
      </c>
      <c r="V266" s="540">
        <f t="shared" si="42"/>
        <v>0</v>
      </c>
    </row>
    <row r="267" spans="1:22" s="540" customFormat="1" ht="21" customHeight="1" thickBot="1">
      <c r="A267" s="768"/>
      <c r="B267" s="768"/>
      <c r="C267" s="781"/>
      <c r="D267" s="778">
        <v>4300000</v>
      </c>
      <c r="E267" s="778">
        <v>4300000</v>
      </c>
      <c r="F267" s="778">
        <f t="shared" si="72"/>
        <v>4300000</v>
      </c>
      <c r="G267" s="778">
        <f t="shared" si="73"/>
        <v>0</v>
      </c>
      <c r="H267" s="1173" t="s">
        <v>677</v>
      </c>
      <c r="I267" s="1221">
        <v>4300000</v>
      </c>
      <c r="J267" s="1063">
        <v>1</v>
      </c>
      <c r="K267" s="1001" t="s">
        <v>455</v>
      </c>
      <c r="L267" s="1001"/>
      <c r="M267" s="1222" t="s">
        <v>33</v>
      </c>
      <c r="N267" s="1131">
        <f>I267*J267</f>
        <v>4300000</v>
      </c>
      <c r="P267" s="539">
        <f t="shared" si="74"/>
        <v>4300000</v>
      </c>
      <c r="Q267" s="539">
        <f t="shared" si="75"/>
        <v>0</v>
      </c>
      <c r="R267" s="539">
        <f t="shared" si="76"/>
        <v>0</v>
      </c>
      <c r="S267" s="539">
        <f t="shared" si="77"/>
        <v>0</v>
      </c>
      <c r="T267" s="539">
        <f t="shared" si="78"/>
        <v>0</v>
      </c>
      <c r="U267" s="539">
        <f t="shared" si="79"/>
        <v>0</v>
      </c>
      <c r="V267" s="540">
        <f t="shared" si="42"/>
        <v>0</v>
      </c>
    </row>
    <row r="268" spans="1:22" s="540" customFormat="1" ht="21" hidden="1" customHeight="1" thickBot="1">
      <c r="A268" s="768"/>
      <c r="B268" s="768"/>
      <c r="C268" s="768"/>
      <c r="D268" s="775"/>
      <c r="E268" s="765"/>
      <c r="F268" s="774"/>
      <c r="G268" s="672">
        <f t="shared" ref="G268:G272" si="80">E268-F268</f>
        <v>0</v>
      </c>
      <c r="H268" s="1252"/>
      <c r="I268" s="1253"/>
      <c r="J268" s="1112"/>
      <c r="K268" s="1001"/>
      <c r="L268" s="1113"/>
      <c r="M268" s="1254"/>
      <c r="N268" s="1003"/>
      <c r="P268" s="539">
        <f t="shared" si="74"/>
        <v>0</v>
      </c>
      <c r="Q268" s="539">
        <f t="shared" si="75"/>
        <v>0</v>
      </c>
      <c r="R268" s="539">
        <f t="shared" si="76"/>
        <v>0</v>
      </c>
      <c r="S268" s="539">
        <f t="shared" si="77"/>
        <v>0</v>
      </c>
      <c r="T268" s="539">
        <f t="shared" si="78"/>
        <v>0</v>
      </c>
      <c r="U268" s="539">
        <f t="shared" si="79"/>
        <v>0</v>
      </c>
      <c r="V268" s="540">
        <f t="shared" si="42"/>
        <v>0</v>
      </c>
    </row>
    <row r="269" spans="1:22" s="540" customFormat="1" ht="21" hidden="1" customHeight="1" thickBot="1">
      <c r="A269" s="768"/>
      <c r="B269" s="768"/>
      <c r="C269" s="570"/>
      <c r="D269" s="766"/>
      <c r="E269" s="765">
        <v>0</v>
      </c>
      <c r="F269" s="774">
        <f>O269</f>
        <v>0</v>
      </c>
      <c r="G269" s="570">
        <f t="shared" si="80"/>
        <v>0</v>
      </c>
      <c r="H269" s="1280"/>
      <c r="I269" s="1281"/>
      <c r="J269" s="1282"/>
      <c r="K269" s="1282"/>
      <c r="L269" s="1240"/>
      <c r="M269" s="1188"/>
      <c r="N269" s="1267">
        <f>SUM(N270:N272)</f>
        <v>0</v>
      </c>
      <c r="V269" s="540">
        <f t="shared" si="42"/>
        <v>0</v>
      </c>
    </row>
    <row r="270" spans="1:22" s="540" customFormat="1" ht="21" hidden="1" customHeight="1">
      <c r="A270" s="768"/>
      <c r="B270" s="768"/>
      <c r="C270" s="768"/>
      <c r="D270" s="775"/>
      <c r="E270" s="775">
        <v>0</v>
      </c>
      <c r="F270" s="775">
        <f>O270</f>
        <v>0</v>
      </c>
      <c r="G270" s="768">
        <f t="shared" si="80"/>
        <v>0</v>
      </c>
      <c r="H270" s="1208"/>
      <c r="I270" s="1209"/>
      <c r="J270" s="1286"/>
      <c r="K270" s="1286"/>
      <c r="L270" s="1212"/>
      <c r="M270" s="1213"/>
      <c r="N270" s="1287"/>
      <c r="V270" s="540">
        <f t="shared" si="42"/>
        <v>0</v>
      </c>
    </row>
    <row r="271" spans="1:22" s="540" customFormat="1" ht="21" hidden="1" customHeight="1">
      <c r="A271" s="768"/>
      <c r="B271" s="768"/>
      <c r="C271" s="768"/>
      <c r="D271" s="775"/>
      <c r="E271" s="775">
        <v>0</v>
      </c>
      <c r="F271" s="775">
        <f>O271</f>
        <v>0</v>
      </c>
      <c r="G271" s="768">
        <f t="shared" si="80"/>
        <v>0</v>
      </c>
      <c r="H271" s="1208"/>
      <c r="I271" s="1209"/>
      <c r="J271" s="1286"/>
      <c r="K271" s="1286"/>
      <c r="L271" s="1212"/>
      <c r="M271" s="1213"/>
      <c r="N271" s="1287"/>
      <c r="V271" s="540">
        <f t="shared" si="42"/>
        <v>0</v>
      </c>
    </row>
    <row r="272" spans="1:22" s="540" customFormat="1" ht="21" hidden="1" customHeight="1" thickBot="1">
      <c r="A272" s="768"/>
      <c r="B272" s="768"/>
      <c r="C272" s="768"/>
      <c r="D272" s="775"/>
      <c r="E272" s="775">
        <v>0</v>
      </c>
      <c r="F272" s="775">
        <f>O272</f>
        <v>0</v>
      </c>
      <c r="G272" s="768">
        <f t="shared" si="80"/>
        <v>0</v>
      </c>
      <c r="H272" s="1208"/>
      <c r="I272" s="1209"/>
      <c r="J272" s="1286"/>
      <c r="K272" s="1286"/>
      <c r="L272" s="1212"/>
      <c r="M272" s="1213"/>
      <c r="N272" s="1287"/>
      <c r="V272" s="540">
        <f t="shared" si="42"/>
        <v>0</v>
      </c>
    </row>
    <row r="273" spans="1:22" s="540" customFormat="1" ht="21" customHeight="1" thickBot="1">
      <c r="A273" s="768"/>
      <c r="B273" s="768"/>
      <c r="C273" s="570" t="s">
        <v>624</v>
      </c>
      <c r="D273" s="766"/>
      <c r="E273" s="766">
        <v>0</v>
      </c>
      <c r="F273" s="766">
        <v>0</v>
      </c>
      <c r="G273" s="571">
        <f>F273-E273</f>
        <v>0</v>
      </c>
      <c r="H273" s="1045" t="s">
        <v>624</v>
      </c>
      <c r="I273" s="1046"/>
      <c r="J273" s="1047"/>
      <c r="K273" s="1047"/>
      <c r="L273" s="1048"/>
      <c r="M273" s="1049"/>
      <c r="N273" s="1050">
        <f>SUM(N274:N274)</f>
        <v>0</v>
      </c>
      <c r="P273" s="540">
        <f>P274</f>
        <v>0</v>
      </c>
    </row>
    <row r="274" spans="1:22" s="540" customFormat="1" ht="21" customHeight="1" thickBot="1">
      <c r="A274" s="768"/>
      <c r="B274" s="768"/>
      <c r="C274" s="768"/>
      <c r="D274" s="778"/>
      <c r="E274" s="778">
        <v>0</v>
      </c>
      <c r="F274" s="775">
        <v>0</v>
      </c>
      <c r="G274" s="571">
        <f>F274-E274</f>
        <v>0</v>
      </c>
      <c r="H274" s="1071"/>
      <c r="I274" s="1072"/>
      <c r="J274" s="1288">
        <v>1</v>
      </c>
      <c r="K274" s="1000" t="s">
        <v>584</v>
      </c>
      <c r="L274" s="1000"/>
      <c r="M274" s="1227" t="s">
        <v>33</v>
      </c>
      <c r="N274" s="1003">
        <f t="shared" ref="N274" si="81">I274*J274</f>
        <v>0</v>
      </c>
      <c r="P274" s="539">
        <f t="shared" ref="P274" si="82">IF($M274="보조금",$N274,0)</f>
        <v>0</v>
      </c>
    </row>
    <row r="275" spans="1:22" s="540" customFormat="1" ht="21" customHeight="1" thickBot="1">
      <c r="A275" s="768"/>
      <c r="B275" s="768"/>
      <c r="C275" s="570" t="s">
        <v>199</v>
      </c>
      <c r="D275" s="766">
        <v>3360000</v>
      </c>
      <c r="E275" s="766">
        <v>5112910</v>
      </c>
      <c r="F275" s="766">
        <f>SUM(F276:F277)</f>
        <v>5112910</v>
      </c>
      <c r="G275" s="570">
        <f>F275-E275</f>
        <v>0</v>
      </c>
      <c r="H275" s="1045" t="s">
        <v>199</v>
      </c>
      <c r="I275" s="1046"/>
      <c r="J275" s="1047"/>
      <c r="K275" s="1047"/>
      <c r="L275" s="1048"/>
      <c r="M275" s="1049"/>
      <c r="N275" s="1050">
        <f>SUM(N276:N277)</f>
        <v>5112910</v>
      </c>
      <c r="P275" s="540">
        <f t="shared" ref="P275:U275" si="83">SUM(P276:P277)</f>
        <v>5112910</v>
      </c>
      <c r="Q275" s="540">
        <f t="shared" si="83"/>
        <v>0</v>
      </c>
      <c r="R275" s="540">
        <f t="shared" si="83"/>
        <v>0</v>
      </c>
      <c r="S275" s="540">
        <f t="shared" si="83"/>
        <v>0</v>
      </c>
      <c r="T275" s="540">
        <f t="shared" si="83"/>
        <v>0</v>
      </c>
      <c r="U275" s="540">
        <f t="shared" si="83"/>
        <v>0</v>
      </c>
      <c r="V275" s="540">
        <f t="shared" si="42"/>
        <v>0</v>
      </c>
    </row>
    <row r="276" spans="1:22" s="540" customFormat="1" ht="21" customHeight="1">
      <c r="A276" s="672"/>
      <c r="B276" s="672"/>
      <c r="C276" s="781"/>
      <c r="D276" s="778">
        <v>3360000</v>
      </c>
      <c r="E276" s="778">
        <v>3360000</v>
      </c>
      <c r="F276" s="778">
        <f t="shared" ref="F276:F277" si="84">N276</f>
        <v>3360000</v>
      </c>
      <c r="G276" s="778">
        <f t="shared" ref="G276:G277" si="85">F276-E276</f>
        <v>0</v>
      </c>
      <c r="H276" s="1289" t="s">
        <v>678</v>
      </c>
      <c r="I276" s="1097">
        <v>3360000</v>
      </c>
      <c r="J276" s="1290">
        <v>1</v>
      </c>
      <c r="K276" s="1098" t="s">
        <v>584</v>
      </c>
      <c r="L276" s="1098"/>
      <c r="M276" s="1284" t="s">
        <v>33</v>
      </c>
      <c r="N276" s="1285">
        <f t="shared" ref="N276:N277" si="86">I276*J276</f>
        <v>3360000</v>
      </c>
      <c r="P276" s="539">
        <f t="shared" ref="P276:P277" si="87">IF($M276="보조금",$N276,0)</f>
        <v>3360000</v>
      </c>
      <c r="Q276" s="539"/>
      <c r="R276" s="539"/>
      <c r="S276" s="539"/>
      <c r="T276" s="539"/>
      <c r="U276" s="539"/>
    </row>
    <row r="277" spans="1:22" s="540" customFormat="1" ht="21" customHeight="1" thickBot="1">
      <c r="A277" s="672"/>
      <c r="B277" s="672"/>
      <c r="C277" s="781"/>
      <c r="D277" s="778"/>
      <c r="E277" s="778">
        <v>1752910</v>
      </c>
      <c r="F277" s="778">
        <f t="shared" si="84"/>
        <v>1752910</v>
      </c>
      <c r="G277" s="778">
        <f t="shared" si="85"/>
        <v>0</v>
      </c>
      <c r="H277" s="1065" t="s">
        <v>679</v>
      </c>
      <c r="I277" s="1067">
        <v>1752910</v>
      </c>
      <c r="J277" s="1291">
        <v>1</v>
      </c>
      <c r="K277" s="1066" t="s">
        <v>584</v>
      </c>
      <c r="L277" s="1066" t="s">
        <v>682</v>
      </c>
      <c r="M277" s="1219" t="s">
        <v>33</v>
      </c>
      <c r="N277" s="1130">
        <f t="shared" si="86"/>
        <v>1752910</v>
      </c>
      <c r="P277" s="539">
        <f t="shared" si="87"/>
        <v>1752910</v>
      </c>
      <c r="Q277" s="539"/>
      <c r="R277" s="539"/>
      <c r="S277" s="539"/>
      <c r="T277" s="539"/>
      <c r="U277" s="539"/>
    </row>
    <row r="278" spans="1:22" s="540" customFormat="1" ht="21" customHeight="1" thickBot="1">
      <c r="A278" s="570" t="s">
        <v>116</v>
      </c>
      <c r="B278" s="570"/>
      <c r="C278" s="570"/>
      <c r="D278" s="766">
        <f>D279+D290</f>
        <v>1212229770</v>
      </c>
      <c r="E278" s="766">
        <v>1134115217</v>
      </c>
      <c r="F278" s="766">
        <f>F279+F290</f>
        <v>1036088246</v>
      </c>
      <c r="G278" s="571">
        <f>F278-E278</f>
        <v>-98026971</v>
      </c>
      <c r="H278" s="1280"/>
      <c r="I278" s="1281"/>
      <c r="J278" s="1282"/>
      <c r="K278" s="1282"/>
      <c r="L278" s="1240"/>
      <c r="M278" s="1188"/>
      <c r="N278" s="1032">
        <f>N279+N290</f>
        <v>1036088246</v>
      </c>
      <c r="P278" s="540">
        <f>P279+P290</f>
        <v>945662280</v>
      </c>
      <c r="Q278" s="540">
        <f t="shared" ref="Q278:U278" si="88">Q279+Q290</f>
        <v>6000000</v>
      </c>
      <c r="R278" s="540">
        <f t="shared" si="88"/>
        <v>16800425</v>
      </c>
      <c r="S278" s="540">
        <f t="shared" si="88"/>
        <v>5000000</v>
      </c>
      <c r="T278" s="540">
        <f t="shared" si="88"/>
        <v>14772830</v>
      </c>
      <c r="U278" s="540">
        <f t="shared" si="88"/>
        <v>47852711</v>
      </c>
      <c r="V278" s="540">
        <f t="shared" si="42"/>
        <v>0</v>
      </c>
    </row>
    <row r="279" spans="1:22" s="540" customFormat="1" ht="21" customHeight="1" thickBot="1">
      <c r="A279" s="768"/>
      <c r="B279" s="570" t="s">
        <v>188</v>
      </c>
      <c r="C279" s="570"/>
      <c r="D279" s="766">
        <v>373310000</v>
      </c>
      <c r="E279" s="766">
        <v>310289476</v>
      </c>
      <c r="F279" s="766">
        <f>F280+F283+F287</f>
        <v>240051225</v>
      </c>
      <c r="G279" s="571">
        <f>F279-E279</f>
        <v>-70238251</v>
      </c>
      <c r="H279" s="1084"/>
      <c r="I279" s="1085"/>
      <c r="J279" s="1086"/>
      <c r="K279" s="1086"/>
      <c r="L279" s="1240"/>
      <c r="M279" s="1188"/>
      <c r="N279" s="1292">
        <f>N280+N283+N287</f>
        <v>240051225</v>
      </c>
      <c r="P279" s="540">
        <f>P280+P283+P287</f>
        <v>237820800</v>
      </c>
      <c r="Q279" s="540">
        <f t="shared" ref="Q279:U279" si="89">Q280+Q283+Q287</f>
        <v>0</v>
      </c>
      <c r="R279" s="540">
        <f t="shared" si="89"/>
        <v>1730425</v>
      </c>
      <c r="S279" s="540">
        <f t="shared" si="89"/>
        <v>0</v>
      </c>
      <c r="T279" s="540">
        <f>T280+T283+T287</f>
        <v>500000</v>
      </c>
      <c r="U279" s="540">
        <f t="shared" si="89"/>
        <v>0</v>
      </c>
      <c r="V279" s="540">
        <f t="shared" si="42"/>
        <v>0</v>
      </c>
    </row>
    <row r="280" spans="1:22" s="540" customFormat="1" ht="21" customHeight="1" thickBot="1">
      <c r="A280" s="768"/>
      <c r="B280" s="768"/>
      <c r="C280" s="773" t="s">
        <v>113</v>
      </c>
      <c r="D280" s="782">
        <v>370040000</v>
      </c>
      <c r="E280" s="782">
        <v>304236000</v>
      </c>
      <c r="F280" s="782">
        <f>F281+F282</f>
        <v>237320800</v>
      </c>
      <c r="G280" s="570">
        <f>F280-E280</f>
        <v>-66915200</v>
      </c>
      <c r="H280" s="1134" t="s">
        <v>113</v>
      </c>
      <c r="I280" s="1170"/>
      <c r="J280" s="1136"/>
      <c r="K280" s="1136"/>
      <c r="L280" s="1293"/>
      <c r="M280" s="1294"/>
      <c r="N280" s="1295">
        <f>N281+N282</f>
        <v>237320800</v>
      </c>
      <c r="P280" s="540">
        <f>P281+P282</f>
        <v>237320800</v>
      </c>
      <c r="Q280" s="540">
        <f t="shared" ref="Q280:U280" si="90">Q281</f>
        <v>0</v>
      </c>
      <c r="R280" s="540">
        <f t="shared" si="90"/>
        <v>0</v>
      </c>
      <c r="S280" s="540">
        <f t="shared" si="90"/>
        <v>0</v>
      </c>
      <c r="T280" s="540">
        <f t="shared" si="90"/>
        <v>0</v>
      </c>
      <c r="U280" s="540">
        <f t="shared" si="90"/>
        <v>0</v>
      </c>
      <c r="V280" s="540">
        <f t="shared" si="42"/>
        <v>0</v>
      </c>
    </row>
    <row r="281" spans="1:22" s="540" customFormat="1" ht="21" customHeight="1">
      <c r="A281" s="768"/>
      <c r="B281" s="775"/>
      <c r="C281" s="782"/>
      <c r="D281" s="779">
        <v>340400000</v>
      </c>
      <c r="E281" s="780">
        <v>279008000</v>
      </c>
      <c r="F281" s="779">
        <f>N281</f>
        <v>215120000</v>
      </c>
      <c r="G281" s="778">
        <f t="shared" ref="G281:G282" si="91">F281-E281</f>
        <v>-63888000</v>
      </c>
      <c r="H281" s="1296" t="s">
        <v>4</v>
      </c>
      <c r="I281" s="1096">
        <v>215120000</v>
      </c>
      <c r="J281" s="1290"/>
      <c r="K281" s="1098" t="s">
        <v>467</v>
      </c>
      <c r="L281" s="1098"/>
      <c r="M281" s="1297" t="s">
        <v>33</v>
      </c>
      <c r="N281" s="1298">
        <v>215120000</v>
      </c>
      <c r="P281" s="539">
        <f t="shared" ref="P281:P282" si="92">IF($M281="보조금",$N281,0)</f>
        <v>215120000</v>
      </c>
      <c r="Q281" s="539">
        <f t="shared" ref="Q281" si="93">IF($M281="법인전입금",$N281,0)</f>
        <v>0</v>
      </c>
      <c r="R281" s="539">
        <f t="shared" ref="R281" si="94">IF($M281="구법인",$N281,0)</f>
        <v>0</v>
      </c>
      <c r="S281" s="539">
        <f t="shared" ref="S281" si="95">IF($M281="지정후원금",$N281,0)</f>
        <v>0</v>
      </c>
      <c r="T281" s="539">
        <f t="shared" ref="T281" si="96">IF($M281="비지정후원금",$N281,0)</f>
        <v>0</v>
      </c>
      <c r="U281" s="539">
        <f t="shared" ref="U281" si="97">IF(OR($M281="수익사업"),$N281,0)</f>
        <v>0</v>
      </c>
      <c r="V281" s="540">
        <f t="shared" si="42"/>
        <v>0</v>
      </c>
    </row>
    <row r="282" spans="1:22" s="540" customFormat="1" ht="21" customHeight="1" thickBot="1">
      <c r="A282" s="768"/>
      <c r="B282" s="775"/>
      <c r="C282" s="765"/>
      <c r="D282" s="784">
        <v>29640000</v>
      </c>
      <c r="E282" s="783">
        <v>25228000</v>
      </c>
      <c r="F282" s="784">
        <f>N282</f>
        <v>22200800</v>
      </c>
      <c r="G282" s="778">
        <f t="shared" si="91"/>
        <v>-3027200</v>
      </c>
      <c r="H282" s="1299" t="s">
        <v>690</v>
      </c>
      <c r="I282" s="1300">
        <v>22200800</v>
      </c>
      <c r="J282" s="1301"/>
      <c r="K282" s="1302" t="s">
        <v>467</v>
      </c>
      <c r="L282" s="1247"/>
      <c r="M282" s="1303" t="s">
        <v>33</v>
      </c>
      <c r="N282" s="1304">
        <v>22200800</v>
      </c>
      <c r="P282" s="539">
        <f t="shared" si="92"/>
        <v>22200800</v>
      </c>
      <c r="Q282" s="539"/>
      <c r="R282" s="539"/>
      <c r="S282" s="539"/>
      <c r="T282" s="539"/>
      <c r="U282" s="539"/>
    </row>
    <row r="283" spans="1:22" s="540" customFormat="1" ht="21" customHeight="1" thickBot="1">
      <c r="A283" s="768"/>
      <c r="B283" s="768"/>
      <c r="C283" s="768" t="s">
        <v>399</v>
      </c>
      <c r="D283" s="775">
        <v>1000000</v>
      </c>
      <c r="E283" s="775">
        <v>1000000</v>
      </c>
      <c r="F283" s="775">
        <f>F285+F286</f>
        <v>1000000</v>
      </c>
      <c r="G283" s="570">
        <f>F283-E283</f>
        <v>0</v>
      </c>
      <c r="H283" s="1305"/>
      <c r="I283" s="1306"/>
      <c r="J283" s="1307"/>
      <c r="K283" s="1307"/>
      <c r="L283" s="1308"/>
      <c r="M283" s="1309"/>
      <c r="N283" s="1094">
        <f>SUM(N284:N286)</f>
        <v>1000000</v>
      </c>
      <c r="P283" s="540">
        <f>SUM(P284:P286)</f>
        <v>500000</v>
      </c>
      <c r="Q283" s="540">
        <f t="shared" ref="Q283:U283" si="98">SUM(Q284:Q286)</f>
        <v>0</v>
      </c>
      <c r="R283" s="540">
        <f t="shared" si="98"/>
        <v>0</v>
      </c>
      <c r="S283" s="540">
        <f t="shared" si="98"/>
        <v>0</v>
      </c>
      <c r="T283" s="540">
        <f t="shared" si="98"/>
        <v>500000</v>
      </c>
      <c r="U283" s="540">
        <f t="shared" si="98"/>
        <v>0</v>
      </c>
      <c r="V283" s="540">
        <f t="shared" si="42"/>
        <v>0</v>
      </c>
    </row>
    <row r="284" spans="1:22" s="540" customFormat="1" ht="21" customHeight="1">
      <c r="A284" s="768"/>
      <c r="B284" s="768"/>
      <c r="C284" s="710" t="s">
        <v>201</v>
      </c>
      <c r="D284" s="780"/>
      <c r="E284" s="779"/>
      <c r="F284" s="779"/>
      <c r="G284" s="778">
        <f t="shared" ref="G284:G286" si="99">F284-E284</f>
        <v>0</v>
      </c>
      <c r="H284" s="1310" t="s">
        <v>478</v>
      </c>
      <c r="I284" s="1311">
        <f>SUM(I285:I286)</f>
        <v>1000000</v>
      </c>
      <c r="J284" s="1158"/>
      <c r="K284" s="1158"/>
      <c r="L284" s="1158"/>
      <c r="M284" s="1159"/>
      <c r="N284" s="1312"/>
      <c r="P284" s="539">
        <f t="shared" ref="P284:P286" si="100">IF($M284="보조금",$N284,0)</f>
        <v>0</v>
      </c>
      <c r="Q284" s="539">
        <f t="shared" ref="Q284:Q286" si="101">IF($M284="법인전입금",$N284,0)</f>
        <v>0</v>
      </c>
      <c r="R284" s="539">
        <f t="shared" ref="R284:R286" si="102">IF($M284="구법인",$N284,0)</f>
        <v>0</v>
      </c>
      <c r="S284" s="539">
        <f t="shared" ref="S284:S286" si="103">IF($M284="지정후원금",$N284,0)</f>
        <v>0</v>
      </c>
      <c r="T284" s="539">
        <f t="shared" ref="T284:T286" si="104">IF($M284="비지정후원금",$N284,0)</f>
        <v>0</v>
      </c>
      <c r="U284" s="539">
        <f t="shared" ref="U284:U286" si="105">IF(OR($M284="수익사업"),$N284,0)</f>
        <v>0</v>
      </c>
      <c r="V284" s="540">
        <f t="shared" si="42"/>
        <v>0</v>
      </c>
    </row>
    <row r="285" spans="1:22" s="540" customFormat="1" ht="21" customHeight="1">
      <c r="A285" s="768"/>
      <c r="B285" s="768"/>
      <c r="C285" s="655"/>
      <c r="D285" s="778">
        <v>500000</v>
      </c>
      <c r="E285" s="778">
        <v>500000</v>
      </c>
      <c r="F285" s="778">
        <f>N285</f>
        <v>500000</v>
      </c>
      <c r="G285" s="778">
        <f t="shared" si="99"/>
        <v>0</v>
      </c>
      <c r="H285" s="1313" t="s">
        <v>201</v>
      </c>
      <c r="I285" s="1314">
        <v>500000</v>
      </c>
      <c r="J285" s="1315">
        <v>1</v>
      </c>
      <c r="K285" s="1315" t="s">
        <v>467</v>
      </c>
      <c r="L285" s="1315"/>
      <c r="M285" s="1316" t="s">
        <v>209</v>
      </c>
      <c r="N285" s="1260">
        <f t="shared" ref="N285:N286" si="106">I285*J285</f>
        <v>500000</v>
      </c>
      <c r="P285" s="539">
        <f t="shared" si="100"/>
        <v>0</v>
      </c>
      <c r="Q285" s="539">
        <f t="shared" si="101"/>
        <v>0</v>
      </c>
      <c r="R285" s="539">
        <f t="shared" si="102"/>
        <v>0</v>
      </c>
      <c r="S285" s="539">
        <f t="shared" si="103"/>
        <v>0</v>
      </c>
      <c r="T285" s="539">
        <f t="shared" si="104"/>
        <v>500000</v>
      </c>
      <c r="U285" s="539">
        <f t="shared" si="105"/>
        <v>0</v>
      </c>
      <c r="V285" s="540">
        <f t="shared" si="42"/>
        <v>0</v>
      </c>
    </row>
    <row r="286" spans="1:22" s="540" customFormat="1" ht="105" customHeight="1" thickBot="1">
      <c r="A286" s="768"/>
      <c r="B286" s="768"/>
      <c r="C286" s="660"/>
      <c r="D286" s="783">
        <v>500000</v>
      </c>
      <c r="E286" s="783">
        <v>500000</v>
      </c>
      <c r="F286" s="783">
        <f>N286</f>
        <v>500000</v>
      </c>
      <c r="G286" s="778">
        <f t="shared" si="99"/>
        <v>0</v>
      </c>
      <c r="H286" s="1317" t="s">
        <v>201</v>
      </c>
      <c r="I286" s="1318">
        <v>500000</v>
      </c>
      <c r="J286" s="1111">
        <v>1</v>
      </c>
      <c r="K286" s="1111" t="s">
        <v>467</v>
      </c>
      <c r="L286" s="1113" t="s">
        <v>713</v>
      </c>
      <c r="M286" s="1114" t="s">
        <v>33</v>
      </c>
      <c r="N286" s="1122">
        <f t="shared" si="106"/>
        <v>500000</v>
      </c>
      <c r="P286" s="539">
        <f t="shared" si="100"/>
        <v>500000</v>
      </c>
      <c r="Q286" s="539">
        <f t="shared" si="101"/>
        <v>0</v>
      </c>
      <c r="R286" s="539">
        <f t="shared" si="102"/>
        <v>0</v>
      </c>
      <c r="S286" s="539">
        <f t="shared" si="103"/>
        <v>0</v>
      </c>
      <c r="T286" s="539">
        <f t="shared" si="104"/>
        <v>0</v>
      </c>
      <c r="U286" s="539">
        <f t="shared" si="105"/>
        <v>0</v>
      </c>
      <c r="V286" s="540">
        <f t="shared" si="42"/>
        <v>0</v>
      </c>
    </row>
    <row r="287" spans="1:22" s="540" customFormat="1" ht="21" customHeight="1" thickBot="1">
      <c r="A287" s="768"/>
      <c r="B287" s="768"/>
      <c r="C287" s="570" t="s">
        <v>200</v>
      </c>
      <c r="D287" s="766">
        <v>2270000</v>
      </c>
      <c r="E287" s="766">
        <v>5053476</v>
      </c>
      <c r="F287" s="766">
        <f>SUM(F288:F289)</f>
        <v>1730425</v>
      </c>
      <c r="G287" s="570">
        <f>F287-E287</f>
        <v>-3323051</v>
      </c>
      <c r="H287" s="1028"/>
      <c r="I287" s="1029"/>
      <c r="J287" s="1030"/>
      <c r="K287" s="1030"/>
      <c r="L287" s="1031"/>
      <c r="M287" s="1319"/>
      <c r="N287" s="1050">
        <f>SUM(N288:N289)</f>
        <v>1730425</v>
      </c>
      <c r="P287" s="540">
        <f t="shared" ref="P287:U287" si="107">SUM(P288:P289)</f>
        <v>0</v>
      </c>
      <c r="Q287" s="540">
        <f t="shared" si="107"/>
        <v>0</v>
      </c>
      <c r="R287" s="540">
        <f t="shared" si="107"/>
        <v>1730425</v>
      </c>
      <c r="S287" s="540">
        <f t="shared" si="107"/>
        <v>0</v>
      </c>
      <c r="T287" s="540">
        <f t="shared" si="107"/>
        <v>0</v>
      </c>
      <c r="U287" s="540">
        <f t="shared" si="107"/>
        <v>0</v>
      </c>
      <c r="V287" s="540">
        <f t="shared" si="42"/>
        <v>0</v>
      </c>
    </row>
    <row r="288" spans="1:22" s="540" customFormat="1" ht="21" customHeight="1">
      <c r="A288" s="768"/>
      <c r="B288" s="768"/>
      <c r="C288" s="710" t="s">
        <v>200</v>
      </c>
      <c r="D288" s="780">
        <v>2270000</v>
      </c>
      <c r="E288" s="780">
        <v>5053476</v>
      </c>
      <c r="F288" s="780">
        <f>N289</f>
        <v>1730425</v>
      </c>
      <c r="G288" s="778">
        <f t="shared" ref="G288" si="108">F288-E288</f>
        <v>-3323051</v>
      </c>
      <c r="H288" s="1320" t="s">
        <v>477</v>
      </c>
      <c r="I288" s="1311">
        <f>SUM(I289:I289)</f>
        <v>1730425</v>
      </c>
      <c r="J288" s="1321"/>
      <c r="K288" s="1321"/>
      <c r="L288" s="1158"/>
      <c r="M288" s="1159"/>
      <c r="N288" s="1217">
        <f>I288*J288</f>
        <v>0</v>
      </c>
      <c r="P288" s="539">
        <f>IF($M288="보조금",$I288,0)</f>
        <v>0</v>
      </c>
      <c r="Q288" s="539">
        <f t="shared" ref="Q288:Q289" si="109">IF($M288="법인전입금",$I288,0)</f>
        <v>0</v>
      </c>
      <c r="R288" s="539">
        <f>IF($M288="구법인",$I288,0)</f>
        <v>0</v>
      </c>
      <c r="S288" s="539">
        <f t="shared" ref="S288:S289" si="110">IF($M288="지정후원금",$N288,0)</f>
        <v>0</v>
      </c>
      <c r="T288" s="539">
        <f t="shared" ref="T288:T289" si="111">IF($M288="비지정후원금",$N288,0)</f>
        <v>0</v>
      </c>
      <c r="U288" s="539">
        <f t="shared" ref="U288:U289" si="112">IF(OR($M288="수익사업"),$N288,0)</f>
        <v>0</v>
      </c>
      <c r="V288" s="540">
        <f t="shared" si="42"/>
        <v>0</v>
      </c>
    </row>
    <row r="289" spans="1:22" s="540" customFormat="1" ht="21" customHeight="1" thickBot="1">
      <c r="A289" s="768"/>
      <c r="B289" s="768"/>
      <c r="C289" s="774"/>
      <c r="D289" s="765"/>
      <c r="E289" s="765"/>
      <c r="F289" s="765"/>
      <c r="G289" s="778"/>
      <c r="H289" s="1322" t="s">
        <v>200</v>
      </c>
      <c r="I289" s="1318">
        <v>1730425</v>
      </c>
      <c r="J289" s="1323">
        <v>1</v>
      </c>
      <c r="K289" s="1111" t="s">
        <v>467</v>
      </c>
      <c r="L289" s="1111"/>
      <c r="M289" s="1114" t="s">
        <v>459</v>
      </c>
      <c r="N289" s="1246">
        <f>I289*J289</f>
        <v>1730425</v>
      </c>
      <c r="P289" s="539">
        <f t="shared" ref="P289" si="113">IF($M289="보조금",$I289,0)</f>
        <v>0</v>
      </c>
      <c r="Q289" s="539">
        <f t="shared" si="109"/>
        <v>0</v>
      </c>
      <c r="R289" s="539">
        <f t="shared" ref="R289" si="114">IF($M289="구법인",$I289,0)</f>
        <v>1730425</v>
      </c>
      <c r="S289" s="539">
        <f t="shared" si="110"/>
        <v>0</v>
      </c>
      <c r="T289" s="539">
        <f t="shared" si="111"/>
        <v>0</v>
      </c>
      <c r="U289" s="539">
        <f t="shared" si="112"/>
        <v>0</v>
      </c>
      <c r="V289" s="540">
        <f t="shared" si="42"/>
        <v>0</v>
      </c>
    </row>
    <row r="290" spans="1:22" s="540" customFormat="1" ht="21" customHeight="1" thickBot="1">
      <c r="A290" s="768"/>
      <c r="B290" s="570" t="s">
        <v>116</v>
      </c>
      <c r="C290" s="570"/>
      <c r="D290" s="766">
        <v>838919770</v>
      </c>
      <c r="E290" s="766">
        <v>823825741</v>
      </c>
      <c r="F290" s="766">
        <f t="shared" ref="F290" si="115">F291</f>
        <v>796037021</v>
      </c>
      <c r="G290" s="571">
        <f>F290-E290</f>
        <v>-27788720</v>
      </c>
      <c r="H290" s="1045"/>
      <c r="I290" s="1046"/>
      <c r="J290" s="1047"/>
      <c r="K290" s="1047"/>
      <c r="L290" s="1031"/>
      <c r="M290" s="1319"/>
      <c r="N290" s="1292">
        <f>N291</f>
        <v>796037021</v>
      </c>
      <c r="P290" s="540">
        <f>P291</f>
        <v>707841480</v>
      </c>
      <c r="Q290" s="540">
        <f t="shared" ref="Q290:U290" si="116">Q291</f>
        <v>6000000</v>
      </c>
      <c r="R290" s="540">
        <f t="shared" si="116"/>
        <v>15070000</v>
      </c>
      <c r="S290" s="540">
        <f t="shared" si="116"/>
        <v>5000000</v>
      </c>
      <c r="T290" s="540">
        <f t="shared" si="116"/>
        <v>14272830</v>
      </c>
      <c r="U290" s="540">
        <f t="shared" si="116"/>
        <v>47852711</v>
      </c>
      <c r="V290" s="540">
        <f t="shared" si="42"/>
        <v>0</v>
      </c>
    </row>
    <row r="291" spans="1:22" s="540" customFormat="1" ht="21" customHeight="1" thickBot="1">
      <c r="A291" s="768"/>
      <c r="B291" s="768"/>
      <c r="C291" s="773" t="s">
        <v>116</v>
      </c>
      <c r="D291" s="782">
        <v>838919770</v>
      </c>
      <c r="E291" s="782">
        <v>823825741</v>
      </c>
      <c r="F291" s="782">
        <f>SUM(F292:F333)</f>
        <v>796037021</v>
      </c>
      <c r="G291" s="570">
        <f>F291-E291</f>
        <v>-27788720</v>
      </c>
      <c r="H291" s="1045" t="s">
        <v>400</v>
      </c>
      <c r="I291" s="1046"/>
      <c r="J291" s="1047"/>
      <c r="K291" s="1047"/>
      <c r="L291" s="1031"/>
      <c r="M291" s="1319"/>
      <c r="N291" s="1032">
        <f>N292+N295+N298+N302+N304+N306+N310+N314+N315+N318+N319+N320+N322+N323+N324+N325+N326+N327+N328+N332</f>
        <v>796037021</v>
      </c>
      <c r="P291" s="540">
        <f t="shared" ref="P291:U291" si="117">SUM(P292:P333)</f>
        <v>707841480</v>
      </c>
      <c r="Q291" s="540">
        <f t="shared" si="117"/>
        <v>6000000</v>
      </c>
      <c r="R291" s="540">
        <f t="shared" si="117"/>
        <v>15070000</v>
      </c>
      <c r="S291" s="540">
        <f t="shared" si="117"/>
        <v>5000000</v>
      </c>
      <c r="T291" s="540">
        <f t="shared" si="117"/>
        <v>14272830</v>
      </c>
      <c r="U291" s="540">
        <f t="shared" si="117"/>
        <v>47852711</v>
      </c>
      <c r="V291" s="540">
        <f t="shared" si="42"/>
        <v>0</v>
      </c>
    </row>
    <row r="292" spans="1:22" s="540" customFormat="1" ht="21" customHeight="1">
      <c r="A292" s="768"/>
      <c r="B292" s="775"/>
      <c r="C292" s="875"/>
      <c r="D292" s="779">
        <v>739016770</v>
      </c>
      <c r="E292" s="779">
        <v>722241200</v>
      </c>
      <c r="F292" s="735">
        <f t="shared" ref="F292" si="118">N292</f>
        <v>685897990</v>
      </c>
      <c r="G292" s="779">
        <f t="shared" ref="G292:G328" si="119">F292-E292</f>
        <v>-36343210</v>
      </c>
      <c r="H292" s="1324" t="s">
        <v>628</v>
      </c>
      <c r="I292" s="1325">
        <f>SUM(I293:I294)</f>
        <v>685897990</v>
      </c>
      <c r="J292" s="1326"/>
      <c r="K292" s="1326"/>
      <c r="L292" s="1158"/>
      <c r="M292" s="1159"/>
      <c r="N292" s="1327">
        <f>I292</f>
        <v>685897990</v>
      </c>
      <c r="P292" s="539">
        <f>IF($M292="보조금",$N292,0)</f>
        <v>0</v>
      </c>
      <c r="Q292" s="539">
        <f t="shared" ref="Q292:Q296" si="120">IF($M292="법인전입금",$N292,0)</f>
        <v>0</v>
      </c>
      <c r="R292" s="539">
        <f t="shared" ref="R292:R296" si="121">IF($M292="구법인",$N292,0)</f>
        <v>0</v>
      </c>
      <c r="S292" s="539">
        <f t="shared" ref="S292:S333" si="122">IF($M292="지정후원금",$N292,0)</f>
        <v>0</v>
      </c>
      <c r="T292" s="539">
        <f t="shared" ref="T292:T333" si="123">IF($M292="비지정후원금",$N292,0)</f>
        <v>0</v>
      </c>
      <c r="U292" s="539">
        <f t="shared" ref="U292:U344" si="124">IF(OR($M292="수익사업"),$N292,0)</f>
        <v>0</v>
      </c>
      <c r="V292" s="540">
        <f t="shared" si="42"/>
        <v>0</v>
      </c>
    </row>
    <row r="293" spans="1:22" s="540" customFormat="1" ht="71.25">
      <c r="A293" s="768"/>
      <c r="B293" s="775"/>
      <c r="C293" s="788"/>
      <c r="D293" s="672"/>
      <c r="E293" s="672"/>
      <c r="F293" s="786"/>
      <c r="G293" s="672"/>
      <c r="H293" s="1328" t="s">
        <v>629</v>
      </c>
      <c r="I293" s="1329">
        <v>198318890</v>
      </c>
      <c r="J293" s="1330">
        <v>1</v>
      </c>
      <c r="K293" s="1001" t="s">
        <v>467</v>
      </c>
      <c r="L293" s="1242" t="s">
        <v>739</v>
      </c>
      <c r="M293" s="1128" t="s">
        <v>33</v>
      </c>
      <c r="N293" s="1131">
        <v>198318890</v>
      </c>
      <c r="P293" s="539">
        <f>IF($M293="보조금",$N293,0)</f>
        <v>198318890</v>
      </c>
      <c r="Q293" s="539">
        <f t="shared" si="120"/>
        <v>0</v>
      </c>
      <c r="R293" s="539">
        <f t="shared" si="121"/>
        <v>0</v>
      </c>
      <c r="S293" s="539">
        <f t="shared" si="122"/>
        <v>0</v>
      </c>
      <c r="T293" s="539">
        <f t="shared" si="123"/>
        <v>0</v>
      </c>
      <c r="U293" s="539">
        <f t="shared" si="124"/>
        <v>0</v>
      </c>
      <c r="V293" s="540">
        <f t="shared" si="42"/>
        <v>0</v>
      </c>
    </row>
    <row r="294" spans="1:22" s="540" customFormat="1" ht="57">
      <c r="A294" s="768"/>
      <c r="B294" s="775"/>
      <c r="C294" s="788"/>
      <c r="D294" s="672"/>
      <c r="E294" s="672"/>
      <c r="F294" s="786"/>
      <c r="G294" s="672"/>
      <c r="H294" s="1331" t="s">
        <v>630</v>
      </c>
      <c r="I294" s="1332">
        <v>487579100</v>
      </c>
      <c r="J294" s="1061">
        <v>1</v>
      </c>
      <c r="K294" s="1000" t="s">
        <v>467</v>
      </c>
      <c r="L294" s="1333" t="s">
        <v>738</v>
      </c>
      <c r="M294" s="1121" t="s">
        <v>33</v>
      </c>
      <c r="N294" s="1131">
        <v>487579100</v>
      </c>
      <c r="P294" s="539">
        <f t="shared" ref="P294:P296" si="125">IF($M294="보조금",$N294,0)</f>
        <v>487579100</v>
      </c>
      <c r="Q294" s="539">
        <f t="shared" si="120"/>
        <v>0</v>
      </c>
      <c r="R294" s="539">
        <f t="shared" si="121"/>
        <v>0</v>
      </c>
      <c r="S294" s="539">
        <f t="shared" si="122"/>
        <v>0</v>
      </c>
      <c r="T294" s="539">
        <f t="shared" si="123"/>
        <v>0</v>
      </c>
      <c r="U294" s="539">
        <f t="shared" si="124"/>
        <v>0</v>
      </c>
      <c r="V294" s="540">
        <f t="shared" si="42"/>
        <v>0</v>
      </c>
    </row>
    <row r="295" spans="1:22" s="540" customFormat="1" ht="21" customHeight="1">
      <c r="A295" s="768"/>
      <c r="B295" s="775"/>
      <c r="C295" s="788"/>
      <c r="D295" s="672">
        <v>1540000</v>
      </c>
      <c r="E295" s="672">
        <v>1540000</v>
      </c>
      <c r="F295" s="786">
        <f>N295</f>
        <v>1540000</v>
      </c>
      <c r="G295" s="672">
        <f t="shared" si="119"/>
        <v>0</v>
      </c>
      <c r="H295" s="1334" t="s">
        <v>631</v>
      </c>
      <c r="I295" s="1269">
        <f>SUM(I296:I297)</f>
        <v>1540000</v>
      </c>
      <c r="J295" s="1335"/>
      <c r="K295" s="1053"/>
      <c r="L295" s="1336"/>
      <c r="M295" s="1123"/>
      <c r="N295" s="1337">
        <f>I295</f>
        <v>1540000</v>
      </c>
      <c r="P295" s="539">
        <f t="shared" si="125"/>
        <v>0</v>
      </c>
      <c r="Q295" s="539">
        <f t="shared" si="120"/>
        <v>0</v>
      </c>
      <c r="R295" s="539">
        <f t="shared" si="121"/>
        <v>0</v>
      </c>
      <c r="S295" s="539">
        <f t="shared" si="122"/>
        <v>0</v>
      </c>
      <c r="T295" s="539">
        <f t="shared" si="123"/>
        <v>0</v>
      </c>
      <c r="U295" s="539">
        <f t="shared" si="124"/>
        <v>0</v>
      </c>
      <c r="V295" s="540">
        <f t="shared" si="42"/>
        <v>0</v>
      </c>
    </row>
    <row r="296" spans="1:22" s="540" customFormat="1" ht="42.75">
      <c r="A296" s="768"/>
      <c r="B296" s="775"/>
      <c r="C296" s="788"/>
      <c r="D296" s="672"/>
      <c r="E296" s="672"/>
      <c r="F296" s="786"/>
      <c r="G296" s="672"/>
      <c r="H296" s="1338" t="s">
        <v>632</v>
      </c>
      <c r="I296" s="1339">
        <v>1360000</v>
      </c>
      <c r="J296" s="1162">
        <v>1</v>
      </c>
      <c r="K296" s="1001" t="s">
        <v>467</v>
      </c>
      <c r="L296" s="1340" t="s">
        <v>633</v>
      </c>
      <c r="M296" s="1128" t="s">
        <v>209</v>
      </c>
      <c r="N296" s="1131">
        <f>J296*I296</f>
        <v>1360000</v>
      </c>
      <c r="P296" s="539">
        <f t="shared" si="125"/>
        <v>0</v>
      </c>
      <c r="Q296" s="539">
        <f t="shared" si="120"/>
        <v>0</v>
      </c>
      <c r="R296" s="539">
        <f t="shared" si="121"/>
        <v>0</v>
      </c>
      <c r="S296" s="539">
        <f t="shared" si="122"/>
        <v>0</v>
      </c>
      <c r="T296" s="539">
        <f t="shared" si="123"/>
        <v>1360000</v>
      </c>
      <c r="U296" s="539">
        <f t="shared" si="124"/>
        <v>0</v>
      </c>
      <c r="V296" s="540">
        <f t="shared" si="42"/>
        <v>0</v>
      </c>
    </row>
    <row r="297" spans="1:22" s="540" customFormat="1" ht="21" customHeight="1">
      <c r="A297" s="768"/>
      <c r="B297" s="775"/>
      <c r="C297" s="788"/>
      <c r="D297" s="672"/>
      <c r="E297" s="672"/>
      <c r="F297" s="786"/>
      <c r="G297" s="672"/>
      <c r="H297" s="1341" t="s">
        <v>634</v>
      </c>
      <c r="I297" s="1342">
        <v>180000</v>
      </c>
      <c r="J297" s="1343">
        <v>1</v>
      </c>
      <c r="K297" s="1001" t="s">
        <v>467</v>
      </c>
      <c r="L297" s="1344" t="s">
        <v>635</v>
      </c>
      <c r="M297" s="1128" t="s">
        <v>209</v>
      </c>
      <c r="N297" s="1131">
        <f>J297*I297</f>
        <v>180000</v>
      </c>
      <c r="P297" s="539">
        <f t="shared" ref="P297:P304" si="126">IF($M297="보조금",$N297,0)</f>
        <v>0</v>
      </c>
      <c r="Q297" s="539">
        <f t="shared" ref="Q297:Q304" si="127">IF($M297="법인전입금",$N297,0)</f>
        <v>0</v>
      </c>
      <c r="R297" s="539">
        <f t="shared" ref="R297:R304" si="128">IF($M297="구법인",$N297,0)</f>
        <v>0</v>
      </c>
      <c r="S297" s="539">
        <f t="shared" si="122"/>
        <v>0</v>
      </c>
      <c r="T297" s="539">
        <f t="shared" si="123"/>
        <v>180000</v>
      </c>
      <c r="U297" s="539">
        <f t="shared" si="124"/>
        <v>0</v>
      </c>
      <c r="V297" s="540">
        <f t="shared" si="42"/>
        <v>0</v>
      </c>
    </row>
    <row r="298" spans="1:22" s="540" customFormat="1" ht="21" customHeight="1">
      <c r="A298" s="768"/>
      <c r="B298" s="775"/>
      <c r="C298" s="788"/>
      <c r="D298" s="672">
        <v>6627000</v>
      </c>
      <c r="E298" s="672">
        <v>4102000</v>
      </c>
      <c r="F298" s="786">
        <f>N298</f>
        <v>4672000</v>
      </c>
      <c r="G298" s="672">
        <f t="shared" si="119"/>
        <v>570000</v>
      </c>
      <c r="H298" s="1345" t="s">
        <v>724</v>
      </c>
      <c r="I298" s="1346">
        <f>SUM(I299:I301)</f>
        <v>4672000</v>
      </c>
      <c r="J298" s="1054"/>
      <c r="K298" s="1054"/>
      <c r="L298" s="1054"/>
      <c r="M298" s="1127"/>
      <c r="N298" s="1337">
        <f>I298</f>
        <v>4672000</v>
      </c>
      <c r="P298" s="539">
        <f t="shared" si="126"/>
        <v>0</v>
      </c>
      <c r="Q298" s="539">
        <f t="shared" si="127"/>
        <v>0</v>
      </c>
      <c r="R298" s="539">
        <f t="shared" si="128"/>
        <v>0</v>
      </c>
      <c r="S298" s="539">
        <f t="shared" si="122"/>
        <v>0</v>
      </c>
      <c r="T298" s="539">
        <f t="shared" si="123"/>
        <v>0</v>
      </c>
      <c r="U298" s="539">
        <f t="shared" si="124"/>
        <v>0</v>
      </c>
      <c r="V298" s="540">
        <f t="shared" si="42"/>
        <v>0</v>
      </c>
    </row>
    <row r="299" spans="1:22" s="540" customFormat="1" ht="21" customHeight="1">
      <c r="A299" s="768"/>
      <c r="B299" s="775"/>
      <c r="C299" s="788"/>
      <c r="D299" s="672"/>
      <c r="E299" s="672"/>
      <c r="F299" s="786"/>
      <c r="G299" s="672"/>
      <c r="H299" s="1347" t="s">
        <v>725</v>
      </c>
      <c r="I299" s="1221">
        <v>70000</v>
      </c>
      <c r="J299" s="1063">
        <v>1</v>
      </c>
      <c r="K299" s="1000" t="s">
        <v>467</v>
      </c>
      <c r="L299" s="1063"/>
      <c r="M299" s="1163" t="s">
        <v>459</v>
      </c>
      <c r="N299" s="1217">
        <v>70000</v>
      </c>
      <c r="P299" s="539">
        <f t="shared" si="126"/>
        <v>0</v>
      </c>
      <c r="Q299" s="539"/>
      <c r="R299" s="539">
        <f t="shared" si="128"/>
        <v>70000</v>
      </c>
      <c r="S299" s="539"/>
      <c r="T299" s="539"/>
      <c r="U299" s="539"/>
    </row>
    <row r="300" spans="1:22" s="540" customFormat="1" ht="21" customHeight="1">
      <c r="A300" s="768"/>
      <c r="B300" s="775"/>
      <c r="C300" s="788"/>
      <c r="D300" s="672"/>
      <c r="E300" s="672"/>
      <c r="F300" s="786"/>
      <c r="G300" s="672"/>
      <c r="H300" s="1348" t="s">
        <v>727</v>
      </c>
      <c r="I300" s="1221">
        <v>500000</v>
      </c>
      <c r="J300" s="1063">
        <v>1</v>
      </c>
      <c r="K300" s="1178" t="s">
        <v>467</v>
      </c>
      <c r="L300" s="1063"/>
      <c r="M300" s="1163" t="s">
        <v>33</v>
      </c>
      <c r="N300" s="1131">
        <f>I300*J300</f>
        <v>500000</v>
      </c>
      <c r="P300" s="539">
        <f t="shared" si="126"/>
        <v>500000</v>
      </c>
      <c r="Q300" s="539"/>
      <c r="R300" s="539">
        <f t="shared" si="128"/>
        <v>0</v>
      </c>
      <c r="S300" s="539"/>
      <c r="T300" s="539"/>
      <c r="U300" s="539"/>
    </row>
    <row r="301" spans="1:22" s="540" customFormat="1">
      <c r="A301" s="768"/>
      <c r="B301" s="775"/>
      <c r="C301" s="788"/>
      <c r="D301" s="672"/>
      <c r="E301" s="672"/>
      <c r="F301" s="786"/>
      <c r="G301" s="672"/>
      <c r="H301" s="1349" t="s">
        <v>621</v>
      </c>
      <c r="I301" s="1233">
        <v>4102000</v>
      </c>
      <c r="J301" s="1180">
        <v>1</v>
      </c>
      <c r="K301" s="1060" t="s">
        <v>467</v>
      </c>
      <c r="L301" s="1180" t="s">
        <v>636</v>
      </c>
      <c r="M301" s="1350" t="s">
        <v>33</v>
      </c>
      <c r="N301" s="1131">
        <f>I301*J301</f>
        <v>4102000</v>
      </c>
      <c r="P301" s="539">
        <f t="shared" si="126"/>
        <v>4102000</v>
      </c>
      <c r="Q301" s="539">
        <f t="shared" si="127"/>
        <v>0</v>
      </c>
      <c r="R301" s="539">
        <f t="shared" si="128"/>
        <v>0</v>
      </c>
      <c r="S301" s="539">
        <f t="shared" si="122"/>
        <v>0</v>
      </c>
      <c r="T301" s="539">
        <f t="shared" si="123"/>
        <v>0</v>
      </c>
      <c r="U301" s="539">
        <f t="shared" si="124"/>
        <v>0</v>
      </c>
      <c r="V301" s="540">
        <f t="shared" si="42"/>
        <v>0</v>
      </c>
    </row>
    <row r="302" spans="1:22" s="540" customFormat="1" ht="21" customHeight="1">
      <c r="A302" s="768"/>
      <c r="B302" s="775"/>
      <c r="C302" s="788"/>
      <c r="D302" s="672">
        <v>3881000</v>
      </c>
      <c r="E302" s="672">
        <v>7795000</v>
      </c>
      <c r="F302" s="786">
        <f>N302</f>
        <v>7795000</v>
      </c>
      <c r="G302" s="672">
        <f t="shared" si="119"/>
        <v>0</v>
      </c>
      <c r="H302" s="1351" t="s">
        <v>637</v>
      </c>
      <c r="I302" s="1346">
        <f>SUM(I303:I303)</f>
        <v>7795000</v>
      </c>
      <c r="J302" s="1054"/>
      <c r="K302" s="1054"/>
      <c r="L302" s="1054"/>
      <c r="M302" s="1127"/>
      <c r="N302" s="1337">
        <f>I302</f>
        <v>7795000</v>
      </c>
      <c r="P302" s="539">
        <f t="shared" si="126"/>
        <v>0</v>
      </c>
      <c r="Q302" s="539">
        <f t="shared" si="127"/>
        <v>0</v>
      </c>
      <c r="R302" s="539">
        <f t="shared" si="128"/>
        <v>0</v>
      </c>
      <c r="S302" s="539">
        <f t="shared" si="122"/>
        <v>0</v>
      </c>
      <c r="T302" s="539">
        <f t="shared" si="123"/>
        <v>0</v>
      </c>
      <c r="U302" s="539">
        <f t="shared" si="124"/>
        <v>0</v>
      </c>
      <c r="V302" s="540">
        <f t="shared" si="42"/>
        <v>0</v>
      </c>
    </row>
    <row r="303" spans="1:22" s="540" customFormat="1">
      <c r="A303" s="768"/>
      <c r="B303" s="775"/>
      <c r="C303" s="788"/>
      <c r="D303" s="672"/>
      <c r="E303" s="672"/>
      <c r="F303" s="786"/>
      <c r="G303" s="672">
        <f t="shared" si="119"/>
        <v>0</v>
      </c>
      <c r="H303" s="1349" t="s">
        <v>638</v>
      </c>
      <c r="I303" s="1233">
        <v>7795000</v>
      </c>
      <c r="J303" s="1180">
        <v>1</v>
      </c>
      <c r="K303" s="1060" t="s">
        <v>467</v>
      </c>
      <c r="L303" s="1180" t="s">
        <v>639</v>
      </c>
      <c r="M303" s="1350" t="s">
        <v>33</v>
      </c>
      <c r="N303" s="1238">
        <f>I303*J305</f>
        <v>7795000</v>
      </c>
      <c r="P303" s="539">
        <f t="shared" si="126"/>
        <v>7795000</v>
      </c>
      <c r="Q303" s="539">
        <f t="shared" si="127"/>
        <v>0</v>
      </c>
      <c r="R303" s="539">
        <f t="shared" si="128"/>
        <v>0</v>
      </c>
      <c r="S303" s="539">
        <f t="shared" si="122"/>
        <v>0</v>
      </c>
      <c r="T303" s="539">
        <f t="shared" si="123"/>
        <v>0</v>
      </c>
      <c r="U303" s="539">
        <f t="shared" si="124"/>
        <v>0</v>
      </c>
      <c r="V303" s="540">
        <f t="shared" si="42"/>
        <v>0</v>
      </c>
    </row>
    <row r="304" spans="1:22" s="540" customFormat="1">
      <c r="A304" s="768"/>
      <c r="B304" s="775"/>
      <c r="C304" s="788"/>
      <c r="D304" s="672">
        <v>5920000</v>
      </c>
      <c r="E304" s="672">
        <v>2445000</v>
      </c>
      <c r="F304" s="786">
        <f>I304</f>
        <v>2445000</v>
      </c>
      <c r="G304" s="672">
        <f t="shared" si="119"/>
        <v>0</v>
      </c>
      <c r="H304" s="1351" t="s">
        <v>640</v>
      </c>
      <c r="I304" s="1346">
        <f>SUM(I305:I305)</f>
        <v>2445000</v>
      </c>
      <c r="J304" s="1054"/>
      <c r="K304" s="1054"/>
      <c r="L304" s="1054"/>
      <c r="M304" s="1127"/>
      <c r="N304" s="1337">
        <f>I304</f>
        <v>2445000</v>
      </c>
      <c r="P304" s="539">
        <f t="shared" si="126"/>
        <v>0</v>
      </c>
      <c r="Q304" s="539">
        <f t="shared" si="127"/>
        <v>0</v>
      </c>
      <c r="R304" s="539">
        <f t="shared" si="128"/>
        <v>0</v>
      </c>
      <c r="S304" s="539">
        <f t="shared" si="122"/>
        <v>0</v>
      </c>
      <c r="T304" s="539">
        <f t="shared" si="123"/>
        <v>0</v>
      </c>
      <c r="U304" s="539">
        <f t="shared" si="124"/>
        <v>0</v>
      </c>
      <c r="V304" s="540">
        <f t="shared" si="42"/>
        <v>0</v>
      </c>
    </row>
    <row r="305" spans="1:22" s="540" customFormat="1" ht="58.5" customHeight="1">
      <c r="A305" s="768"/>
      <c r="B305" s="775"/>
      <c r="C305" s="788"/>
      <c r="D305" s="672"/>
      <c r="E305" s="672"/>
      <c r="F305" s="786"/>
      <c r="G305" s="672"/>
      <c r="H305" s="1352" t="s">
        <v>641</v>
      </c>
      <c r="I305" s="1236">
        <v>2445000</v>
      </c>
      <c r="J305" s="1061">
        <v>1</v>
      </c>
      <c r="K305" s="1060" t="s">
        <v>467</v>
      </c>
      <c r="L305" s="1061" t="s">
        <v>667</v>
      </c>
      <c r="M305" s="1353" t="s">
        <v>33</v>
      </c>
      <c r="N305" s="1238">
        <f>I305*J305</f>
        <v>2445000</v>
      </c>
      <c r="P305" s="539">
        <f t="shared" ref="P305:P333" si="129">IF($M305="보조금",$I305,0)</f>
        <v>2445000</v>
      </c>
      <c r="Q305" s="539">
        <f t="shared" ref="Q305:Q312" si="130">IF($M305="법인전입금",$I305,0)</f>
        <v>0</v>
      </c>
      <c r="R305" s="539">
        <f t="shared" ref="R305:R333" si="131">IF($M305="구법인",$I305,0)</f>
        <v>0</v>
      </c>
      <c r="S305" s="539">
        <f t="shared" si="122"/>
        <v>0</v>
      </c>
      <c r="T305" s="539">
        <f t="shared" si="123"/>
        <v>0</v>
      </c>
      <c r="U305" s="539">
        <f t="shared" si="124"/>
        <v>0</v>
      </c>
      <c r="V305" s="540">
        <f t="shared" si="42"/>
        <v>0</v>
      </c>
    </row>
    <row r="306" spans="1:22" s="540" customFormat="1">
      <c r="A306" s="768"/>
      <c r="B306" s="775"/>
      <c r="C306" s="788"/>
      <c r="D306" s="672">
        <v>1800000</v>
      </c>
      <c r="E306" s="672">
        <v>2880000</v>
      </c>
      <c r="F306" s="786">
        <f>N306</f>
        <v>3584490</v>
      </c>
      <c r="G306" s="672">
        <f t="shared" si="119"/>
        <v>704490</v>
      </c>
      <c r="H306" s="1354" t="s">
        <v>472</v>
      </c>
      <c r="I306" s="1269">
        <f>N306</f>
        <v>3584490</v>
      </c>
      <c r="J306" s="1063"/>
      <c r="K306" s="1001"/>
      <c r="L306" s="1162"/>
      <c r="M306" s="1355"/>
      <c r="N306" s="1337">
        <f>SUM(N307:N309)</f>
        <v>3584490</v>
      </c>
      <c r="P306" s="539">
        <f>IF($M306="보조금",$I306,0)</f>
        <v>0</v>
      </c>
      <c r="Q306" s="539">
        <f t="shared" si="130"/>
        <v>0</v>
      </c>
      <c r="R306" s="539">
        <f t="shared" ref="R306:R331" si="132">IF($M306="구법인",$N306,0)</f>
        <v>0</v>
      </c>
      <c r="S306" s="539">
        <f t="shared" si="122"/>
        <v>0</v>
      </c>
      <c r="T306" s="539">
        <f t="shared" si="123"/>
        <v>0</v>
      </c>
      <c r="U306" s="539">
        <f t="shared" si="124"/>
        <v>0</v>
      </c>
      <c r="V306" s="540">
        <f t="shared" si="42"/>
        <v>0</v>
      </c>
    </row>
    <row r="307" spans="1:22" s="540" customFormat="1">
      <c r="A307" s="768"/>
      <c r="B307" s="775"/>
      <c r="C307" s="788"/>
      <c r="D307" s="672"/>
      <c r="E307" s="672"/>
      <c r="F307" s="786"/>
      <c r="G307" s="672">
        <f t="shared" si="119"/>
        <v>0</v>
      </c>
      <c r="H307" s="1349" t="s">
        <v>123</v>
      </c>
      <c r="I307" s="1233">
        <v>255000</v>
      </c>
      <c r="J307" s="1057">
        <v>12</v>
      </c>
      <c r="K307" s="1056" t="s">
        <v>453</v>
      </c>
      <c r="L307" s="1057" t="s">
        <v>736</v>
      </c>
      <c r="M307" s="1356" t="s">
        <v>33</v>
      </c>
      <c r="N307" s="1246">
        <f>I307*J307</f>
        <v>3060000</v>
      </c>
      <c r="P307" s="539">
        <f t="shared" ref="P307:P309" si="133">IF($M307="보조금",$N307,0)</f>
        <v>3060000</v>
      </c>
      <c r="Q307" s="539"/>
      <c r="R307" s="539"/>
      <c r="S307" s="539"/>
      <c r="T307" s="539"/>
      <c r="U307" s="539"/>
    </row>
    <row r="308" spans="1:22" s="540" customFormat="1">
      <c r="A308" s="768"/>
      <c r="B308" s="775"/>
      <c r="C308" s="788"/>
      <c r="D308" s="672"/>
      <c r="E308" s="672"/>
      <c r="F308" s="786"/>
      <c r="G308" s="672">
        <f t="shared" si="119"/>
        <v>0</v>
      </c>
      <c r="H308" s="1349" t="s">
        <v>668</v>
      </c>
      <c r="I308" s="1233">
        <v>30000</v>
      </c>
      <c r="J308" s="1180">
        <v>12</v>
      </c>
      <c r="K308" s="1178" t="s">
        <v>453</v>
      </c>
      <c r="L308" s="1180" t="s">
        <v>737</v>
      </c>
      <c r="M308" s="1350" t="s">
        <v>33</v>
      </c>
      <c r="N308" s="1357">
        <f>I308*J308</f>
        <v>360000</v>
      </c>
      <c r="P308" s="539">
        <f t="shared" si="133"/>
        <v>360000</v>
      </c>
      <c r="Q308" s="539">
        <f t="shared" si="130"/>
        <v>0</v>
      </c>
      <c r="R308" s="539">
        <f t="shared" si="132"/>
        <v>0</v>
      </c>
      <c r="S308" s="539">
        <f t="shared" si="122"/>
        <v>0</v>
      </c>
      <c r="T308" s="539">
        <f t="shared" si="123"/>
        <v>0</v>
      </c>
      <c r="U308" s="539">
        <f t="shared" si="124"/>
        <v>0</v>
      </c>
      <c r="V308" s="540">
        <f t="shared" si="42"/>
        <v>0</v>
      </c>
    </row>
    <row r="309" spans="1:22" s="540" customFormat="1">
      <c r="A309" s="768"/>
      <c r="B309" s="775"/>
      <c r="C309" s="788"/>
      <c r="D309" s="672"/>
      <c r="E309" s="672"/>
      <c r="F309" s="786"/>
      <c r="G309" s="672"/>
      <c r="H309" s="1347" t="s">
        <v>717</v>
      </c>
      <c r="I309" s="1226">
        <v>164490</v>
      </c>
      <c r="J309" s="1072">
        <v>1</v>
      </c>
      <c r="K309" s="1000" t="s">
        <v>467</v>
      </c>
      <c r="L309" s="1072"/>
      <c r="M309" s="1358" t="s">
        <v>33</v>
      </c>
      <c r="N309" s="1231">
        <f>I309*J309</f>
        <v>164490</v>
      </c>
      <c r="P309" s="539">
        <f t="shared" si="133"/>
        <v>164490</v>
      </c>
      <c r="Q309" s="539"/>
      <c r="R309" s="539"/>
      <c r="S309" s="539"/>
      <c r="T309" s="539"/>
      <c r="U309" s="539"/>
    </row>
    <row r="310" spans="1:22" s="540" customFormat="1">
      <c r="A310" s="768"/>
      <c r="B310" s="775"/>
      <c r="C310" s="788"/>
      <c r="D310" s="672">
        <v>7000000</v>
      </c>
      <c r="E310" s="672">
        <v>7000000</v>
      </c>
      <c r="F310" s="786">
        <f>I310</f>
        <v>7000000</v>
      </c>
      <c r="G310" s="672">
        <f t="shared" si="119"/>
        <v>0</v>
      </c>
      <c r="H310" s="1334" t="s">
        <v>603</v>
      </c>
      <c r="I310" s="1346">
        <f>SUM(N311:N313)</f>
        <v>7000000</v>
      </c>
      <c r="J310" s="1054"/>
      <c r="K310" s="1053"/>
      <c r="L310" s="1335"/>
      <c r="M310" s="1123"/>
      <c r="N310" s="1337">
        <f>I310</f>
        <v>7000000</v>
      </c>
      <c r="P310" s="539">
        <f>IF($M310="보조금",$I310,0)</f>
        <v>0</v>
      </c>
      <c r="Q310" s="539">
        <f t="shared" si="130"/>
        <v>0</v>
      </c>
      <c r="R310" s="539">
        <f t="shared" si="132"/>
        <v>0</v>
      </c>
      <c r="S310" s="539">
        <f t="shared" si="122"/>
        <v>0</v>
      </c>
      <c r="T310" s="539">
        <f t="shared" si="123"/>
        <v>0</v>
      </c>
      <c r="U310" s="539">
        <f t="shared" si="124"/>
        <v>0</v>
      </c>
      <c r="V310" s="540">
        <f t="shared" si="42"/>
        <v>0</v>
      </c>
    </row>
    <row r="311" spans="1:22" s="540" customFormat="1">
      <c r="A311" s="768"/>
      <c r="B311" s="775"/>
      <c r="C311" s="788"/>
      <c r="D311" s="672"/>
      <c r="E311" s="672"/>
      <c r="F311" s="786"/>
      <c r="G311" s="672"/>
      <c r="H311" s="1349" t="s">
        <v>604</v>
      </c>
      <c r="I311" s="1233">
        <v>1000000</v>
      </c>
      <c r="J311" s="1180">
        <v>1</v>
      </c>
      <c r="K311" s="1001" t="s">
        <v>455</v>
      </c>
      <c r="L311" s="1359" t="s">
        <v>605</v>
      </c>
      <c r="M311" s="1128" t="s">
        <v>209</v>
      </c>
      <c r="N311" s="1235">
        <f>I311*J311</f>
        <v>1000000</v>
      </c>
      <c r="P311" s="539">
        <f t="shared" si="129"/>
        <v>0</v>
      </c>
      <c r="Q311" s="539">
        <f t="shared" si="130"/>
        <v>0</v>
      </c>
      <c r="R311" s="539">
        <f t="shared" si="132"/>
        <v>0</v>
      </c>
      <c r="S311" s="539">
        <f t="shared" si="122"/>
        <v>0</v>
      </c>
      <c r="T311" s="539">
        <f t="shared" si="123"/>
        <v>1000000</v>
      </c>
      <c r="U311" s="539">
        <f t="shared" si="124"/>
        <v>0</v>
      </c>
      <c r="V311" s="540">
        <f t="shared" si="42"/>
        <v>0</v>
      </c>
    </row>
    <row r="312" spans="1:22" s="540" customFormat="1">
      <c r="A312" s="768"/>
      <c r="B312" s="775"/>
      <c r="C312" s="788"/>
      <c r="D312" s="672"/>
      <c r="E312" s="672"/>
      <c r="F312" s="786"/>
      <c r="G312" s="672"/>
      <c r="H312" s="1360" t="s">
        <v>606</v>
      </c>
      <c r="I312" s="1244">
        <v>1000000</v>
      </c>
      <c r="J312" s="1057">
        <v>2</v>
      </c>
      <c r="K312" s="1361" t="s">
        <v>455</v>
      </c>
      <c r="L312" s="1362" t="s">
        <v>607</v>
      </c>
      <c r="M312" s="1350" t="s">
        <v>209</v>
      </c>
      <c r="N312" s="1235">
        <f t="shared" ref="N312:N314" si="134">I312*J312</f>
        <v>2000000</v>
      </c>
      <c r="P312" s="539">
        <f t="shared" si="129"/>
        <v>0</v>
      </c>
      <c r="Q312" s="539">
        <f t="shared" si="130"/>
        <v>0</v>
      </c>
      <c r="R312" s="539">
        <f t="shared" si="132"/>
        <v>0</v>
      </c>
      <c r="S312" s="539">
        <f t="shared" si="122"/>
        <v>0</v>
      </c>
      <c r="T312" s="539">
        <f t="shared" si="123"/>
        <v>2000000</v>
      </c>
      <c r="U312" s="539">
        <f t="shared" si="124"/>
        <v>0</v>
      </c>
      <c r="V312" s="540">
        <f t="shared" si="42"/>
        <v>0</v>
      </c>
    </row>
    <row r="313" spans="1:22" s="540" customFormat="1">
      <c r="A313" s="768"/>
      <c r="B313" s="775"/>
      <c r="C313" s="788"/>
      <c r="D313" s="672"/>
      <c r="E313" s="672"/>
      <c r="F313" s="786"/>
      <c r="G313" s="672"/>
      <c r="H313" s="1352" t="s">
        <v>608</v>
      </c>
      <c r="I313" s="1236">
        <v>1000000</v>
      </c>
      <c r="J313" s="1061">
        <v>4</v>
      </c>
      <c r="K313" s="1060" t="s">
        <v>455</v>
      </c>
      <c r="L313" s="1363" t="s">
        <v>609</v>
      </c>
      <c r="M313" s="1353" t="s">
        <v>459</v>
      </c>
      <c r="N313" s="1238">
        <f t="shared" si="134"/>
        <v>4000000</v>
      </c>
      <c r="P313" s="539">
        <f t="shared" si="129"/>
        <v>0</v>
      </c>
      <c r="Q313" s="539">
        <f>IF($M313="법인전입금",$I313,0)</f>
        <v>0</v>
      </c>
      <c r="R313" s="539">
        <f t="shared" si="132"/>
        <v>4000000</v>
      </c>
      <c r="S313" s="539">
        <f t="shared" si="122"/>
        <v>0</v>
      </c>
      <c r="T313" s="539">
        <f t="shared" si="123"/>
        <v>0</v>
      </c>
      <c r="U313" s="539">
        <f t="shared" si="124"/>
        <v>0</v>
      </c>
      <c r="V313" s="540">
        <f t="shared" ref="V313:V354" si="135">IF(OR($M313="잡수입"),$N313,0)</f>
        <v>0</v>
      </c>
    </row>
    <row r="314" spans="1:22" s="540" customFormat="1">
      <c r="A314" s="768"/>
      <c r="B314" s="775"/>
      <c r="C314" s="788"/>
      <c r="D314" s="672">
        <v>1655000</v>
      </c>
      <c r="E314" s="672">
        <v>1657000</v>
      </c>
      <c r="F314" s="786">
        <f>N314</f>
        <v>2047000</v>
      </c>
      <c r="G314" s="672">
        <f t="shared" si="119"/>
        <v>390000</v>
      </c>
      <c r="H314" s="1364" t="s">
        <v>642</v>
      </c>
      <c r="I314" s="1365">
        <v>2047000</v>
      </c>
      <c r="J314" s="1072">
        <v>1</v>
      </c>
      <c r="K314" s="1000" t="s">
        <v>467</v>
      </c>
      <c r="L314" s="1366" t="s">
        <v>642</v>
      </c>
      <c r="M314" s="1002" t="s">
        <v>33</v>
      </c>
      <c r="N314" s="1367">
        <f t="shared" si="134"/>
        <v>2047000</v>
      </c>
      <c r="P314" s="539">
        <f t="shared" si="129"/>
        <v>2047000</v>
      </c>
      <c r="Q314" s="539">
        <f t="shared" ref="Q314:Q333" si="136">IF($M314="법인전입금",$I314,0)</f>
        <v>0</v>
      </c>
      <c r="R314" s="539">
        <f t="shared" si="132"/>
        <v>0</v>
      </c>
      <c r="S314" s="539">
        <f t="shared" si="122"/>
        <v>0</v>
      </c>
      <c r="T314" s="539">
        <f t="shared" si="123"/>
        <v>0</v>
      </c>
      <c r="U314" s="539">
        <f t="shared" si="124"/>
        <v>0</v>
      </c>
      <c r="V314" s="540">
        <f t="shared" si="135"/>
        <v>0</v>
      </c>
    </row>
    <row r="315" spans="1:22" s="540" customFormat="1">
      <c r="A315" s="768"/>
      <c r="B315" s="775"/>
      <c r="C315" s="788"/>
      <c r="D315" s="672">
        <v>3000000</v>
      </c>
      <c r="E315" s="672">
        <v>3000000</v>
      </c>
      <c r="F315" s="786">
        <f>I315</f>
        <v>2310000</v>
      </c>
      <c r="G315" s="672">
        <f t="shared" si="119"/>
        <v>-690000</v>
      </c>
      <c r="H315" s="1334" t="s">
        <v>473</v>
      </c>
      <c r="I315" s="1346">
        <f>SUM(I316:I317)</f>
        <v>2310000</v>
      </c>
      <c r="J315" s="1335"/>
      <c r="K315" s="1053"/>
      <c r="L315" s="1336"/>
      <c r="M315" s="1123"/>
      <c r="N315" s="1337">
        <f>I315</f>
        <v>2310000</v>
      </c>
      <c r="P315" s="539">
        <f>IF($M315="보조금",$N315,0)</f>
        <v>0</v>
      </c>
      <c r="Q315" s="539">
        <f t="shared" si="136"/>
        <v>0</v>
      </c>
      <c r="R315" s="539">
        <f t="shared" si="132"/>
        <v>0</v>
      </c>
      <c r="S315" s="539">
        <f t="shared" si="122"/>
        <v>0</v>
      </c>
      <c r="T315" s="539">
        <f t="shared" si="123"/>
        <v>0</v>
      </c>
      <c r="U315" s="539">
        <f t="shared" si="124"/>
        <v>0</v>
      </c>
      <c r="V315" s="540">
        <f t="shared" si="135"/>
        <v>0</v>
      </c>
    </row>
    <row r="316" spans="1:22" s="540" customFormat="1">
      <c r="A316" s="768"/>
      <c r="B316" s="775"/>
      <c r="C316" s="788"/>
      <c r="D316" s="672"/>
      <c r="E316" s="672"/>
      <c r="F316" s="786"/>
      <c r="G316" s="672">
        <f t="shared" si="119"/>
        <v>0</v>
      </c>
      <c r="H316" s="1338" t="s">
        <v>474</v>
      </c>
      <c r="I316" s="1368">
        <v>810000</v>
      </c>
      <c r="J316" s="1162">
        <v>1</v>
      </c>
      <c r="K316" s="1001" t="s">
        <v>467</v>
      </c>
      <c r="L316" s="1610" t="s">
        <v>741</v>
      </c>
      <c r="M316" s="1128" t="s">
        <v>126</v>
      </c>
      <c r="N316" s="1235">
        <f>I316*J316</f>
        <v>810000</v>
      </c>
      <c r="P316" s="539">
        <f t="shared" si="129"/>
        <v>0</v>
      </c>
      <c r="Q316" s="539">
        <f t="shared" si="136"/>
        <v>810000</v>
      </c>
      <c r="R316" s="539">
        <f t="shared" si="132"/>
        <v>0</v>
      </c>
      <c r="S316" s="539">
        <f t="shared" si="122"/>
        <v>0</v>
      </c>
      <c r="T316" s="539">
        <f t="shared" si="123"/>
        <v>0</v>
      </c>
      <c r="U316" s="539">
        <f t="shared" si="124"/>
        <v>0</v>
      </c>
      <c r="V316" s="540">
        <f t="shared" si="135"/>
        <v>0</v>
      </c>
    </row>
    <row r="317" spans="1:22" s="540" customFormat="1">
      <c r="A317" s="768"/>
      <c r="B317" s="775"/>
      <c r="C317" s="788"/>
      <c r="D317" s="672"/>
      <c r="E317" s="672"/>
      <c r="F317" s="786"/>
      <c r="G317" s="672">
        <f t="shared" si="119"/>
        <v>0</v>
      </c>
      <c r="H317" s="1341" t="s">
        <v>474</v>
      </c>
      <c r="I317" s="1342">
        <v>1500000</v>
      </c>
      <c r="J317" s="1343">
        <v>1</v>
      </c>
      <c r="K317" s="998" t="s">
        <v>467</v>
      </c>
      <c r="L317" s="1611"/>
      <c r="M317" s="1370" t="s">
        <v>459</v>
      </c>
      <c r="N317" s="1238">
        <f>I317*J317</f>
        <v>1500000</v>
      </c>
      <c r="P317" s="539">
        <f t="shared" si="129"/>
        <v>0</v>
      </c>
      <c r="Q317" s="539">
        <f t="shared" si="136"/>
        <v>0</v>
      </c>
      <c r="R317" s="539">
        <f t="shared" si="132"/>
        <v>1500000</v>
      </c>
      <c r="S317" s="539">
        <f t="shared" si="122"/>
        <v>0</v>
      </c>
      <c r="T317" s="539">
        <f t="shared" si="123"/>
        <v>0</v>
      </c>
      <c r="U317" s="539">
        <f t="shared" si="124"/>
        <v>0</v>
      </c>
      <c r="V317" s="540">
        <f t="shared" si="135"/>
        <v>0</v>
      </c>
    </row>
    <row r="318" spans="1:22" s="540" customFormat="1" ht="106.5" customHeight="1">
      <c r="A318" s="768"/>
      <c r="B318" s="775"/>
      <c r="C318" s="788"/>
      <c r="D318" s="672">
        <v>10500000</v>
      </c>
      <c r="E318" s="672">
        <v>10500000</v>
      </c>
      <c r="F318" s="786">
        <f>N318</f>
        <v>9500000</v>
      </c>
      <c r="G318" s="672">
        <f t="shared" si="119"/>
        <v>-1000000</v>
      </c>
      <c r="H318" s="1371" t="s">
        <v>202</v>
      </c>
      <c r="I318" s="1372">
        <v>9500000</v>
      </c>
      <c r="J318" s="1343">
        <v>1</v>
      </c>
      <c r="K318" s="998" t="s">
        <v>467</v>
      </c>
      <c r="L318" s="1369" t="s">
        <v>747</v>
      </c>
      <c r="M318" s="1370" t="s">
        <v>459</v>
      </c>
      <c r="N318" s="1373">
        <f>I318*J318</f>
        <v>9500000</v>
      </c>
      <c r="P318" s="539">
        <f t="shared" si="129"/>
        <v>0</v>
      </c>
      <c r="Q318" s="539">
        <f t="shared" si="136"/>
        <v>0</v>
      </c>
      <c r="R318" s="539">
        <f t="shared" si="132"/>
        <v>9500000</v>
      </c>
      <c r="S318" s="539">
        <f t="shared" si="122"/>
        <v>0</v>
      </c>
      <c r="T318" s="539">
        <f t="shared" si="123"/>
        <v>0</v>
      </c>
      <c r="U318" s="539">
        <f t="shared" si="124"/>
        <v>0</v>
      </c>
      <c r="V318" s="540">
        <f t="shared" si="135"/>
        <v>0</v>
      </c>
    </row>
    <row r="319" spans="1:22" s="540" customFormat="1" ht="85.5">
      <c r="A319" s="768"/>
      <c r="B319" s="775"/>
      <c r="C319" s="788"/>
      <c r="D319" s="672">
        <v>4000000</v>
      </c>
      <c r="E319" s="672">
        <v>3932830</v>
      </c>
      <c r="F319" s="786">
        <f>N319</f>
        <v>3932830</v>
      </c>
      <c r="G319" s="672">
        <f t="shared" si="119"/>
        <v>0</v>
      </c>
      <c r="H319" s="1374" t="s">
        <v>401</v>
      </c>
      <c r="I319" s="1375">
        <v>3932830</v>
      </c>
      <c r="J319" s="1101">
        <v>1</v>
      </c>
      <c r="K319" s="1066" t="s">
        <v>467</v>
      </c>
      <c r="L319" s="1376" t="s">
        <v>735</v>
      </c>
      <c r="M319" s="1129" t="s">
        <v>209</v>
      </c>
      <c r="N319" s="1377">
        <f>I319*J319</f>
        <v>3932830</v>
      </c>
      <c r="P319" s="539">
        <f t="shared" si="129"/>
        <v>0</v>
      </c>
      <c r="Q319" s="539">
        <f t="shared" si="136"/>
        <v>0</v>
      </c>
      <c r="R319" s="539">
        <f t="shared" si="132"/>
        <v>0</v>
      </c>
      <c r="S319" s="539">
        <f t="shared" si="122"/>
        <v>0</v>
      </c>
      <c r="T319" s="539">
        <f t="shared" si="123"/>
        <v>3932830</v>
      </c>
      <c r="U319" s="539">
        <f t="shared" si="124"/>
        <v>0</v>
      </c>
      <c r="V319" s="540">
        <f t="shared" si="135"/>
        <v>0</v>
      </c>
    </row>
    <row r="320" spans="1:22" s="540" customFormat="1">
      <c r="A320" s="768"/>
      <c r="B320" s="775"/>
      <c r="C320" s="788"/>
      <c r="D320" s="672">
        <v>36000000</v>
      </c>
      <c r="E320" s="672">
        <v>37852711</v>
      </c>
      <c r="F320" s="786">
        <f>N320</f>
        <v>47852711</v>
      </c>
      <c r="G320" s="672">
        <f t="shared" si="119"/>
        <v>10000000</v>
      </c>
      <c r="H320" s="1334" t="s">
        <v>475</v>
      </c>
      <c r="I320" s="1346">
        <f>N320</f>
        <v>47852711</v>
      </c>
      <c r="J320" s="1054"/>
      <c r="K320" s="1053"/>
      <c r="L320" s="1335"/>
      <c r="M320" s="1123"/>
      <c r="N320" s="1337">
        <f>N321</f>
        <v>47852711</v>
      </c>
      <c r="P320" s="539">
        <f t="shared" si="129"/>
        <v>0</v>
      </c>
      <c r="Q320" s="539">
        <f t="shared" si="136"/>
        <v>0</v>
      </c>
      <c r="R320" s="539">
        <f t="shared" si="132"/>
        <v>0</v>
      </c>
      <c r="S320" s="539">
        <f t="shared" si="122"/>
        <v>0</v>
      </c>
      <c r="T320" s="539">
        <f t="shared" si="123"/>
        <v>0</v>
      </c>
      <c r="U320" s="539">
        <f t="shared" si="124"/>
        <v>0</v>
      </c>
      <c r="V320" s="540">
        <f t="shared" si="135"/>
        <v>0</v>
      </c>
    </row>
    <row r="321" spans="1:23" s="540" customFormat="1" ht="128.25">
      <c r="A321" s="768"/>
      <c r="B321" s="775"/>
      <c r="C321" s="788"/>
      <c r="D321" s="672"/>
      <c r="E321" s="672"/>
      <c r="F321" s="786"/>
      <c r="G321" s="672">
        <f t="shared" si="119"/>
        <v>0</v>
      </c>
      <c r="H321" s="1349" t="s">
        <v>215</v>
      </c>
      <c r="I321" s="1233">
        <v>47852711</v>
      </c>
      <c r="J321" s="1180">
        <v>1</v>
      </c>
      <c r="K321" s="1178" t="s">
        <v>467</v>
      </c>
      <c r="L321" s="1378" t="s">
        <v>731</v>
      </c>
      <c r="M321" s="1379" t="s">
        <v>476</v>
      </c>
      <c r="N321" s="1235">
        <f>I321*J321</f>
        <v>47852711</v>
      </c>
      <c r="P321" s="539">
        <f t="shared" si="129"/>
        <v>0</v>
      </c>
      <c r="Q321" s="539">
        <f t="shared" si="136"/>
        <v>0</v>
      </c>
      <c r="R321" s="539">
        <f t="shared" si="132"/>
        <v>0</v>
      </c>
      <c r="S321" s="539">
        <f t="shared" si="122"/>
        <v>0</v>
      </c>
      <c r="T321" s="539">
        <f t="shared" si="123"/>
        <v>0</v>
      </c>
      <c r="U321" s="539">
        <f t="shared" si="124"/>
        <v>47852711</v>
      </c>
      <c r="V321" s="540">
        <f t="shared" si="135"/>
        <v>0</v>
      </c>
    </row>
    <row r="322" spans="1:23" s="540" customFormat="1" ht="99.75">
      <c r="A322" s="768"/>
      <c r="B322" s="775"/>
      <c r="C322" s="788"/>
      <c r="D322" s="672">
        <v>3500000</v>
      </c>
      <c r="E322" s="672">
        <v>3500000</v>
      </c>
      <c r="F322" s="786">
        <f>N322</f>
        <v>3500000</v>
      </c>
      <c r="G322" s="672">
        <f t="shared" si="119"/>
        <v>0</v>
      </c>
      <c r="H322" s="1374" t="s">
        <v>402</v>
      </c>
      <c r="I322" s="1380">
        <v>3500000</v>
      </c>
      <c r="J322" s="1067">
        <v>1</v>
      </c>
      <c r="K322" s="1066" t="s">
        <v>467</v>
      </c>
      <c r="L322" s="1376" t="s">
        <v>643</v>
      </c>
      <c r="M322" s="1129" t="s">
        <v>209</v>
      </c>
      <c r="N322" s="1377">
        <f>I322*J322</f>
        <v>3500000</v>
      </c>
      <c r="P322" s="539">
        <f t="shared" si="129"/>
        <v>0</v>
      </c>
      <c r="Q322" s="539">
        <f t="shared" si="136"/>
        <v>0</v>
      </c>
      <c r="R322" s="539">
        <f t="shared" si="132"/>
        <v>0</v>
      </c>
      <c r="S322" s="539">
        <f t="shared" si="122"/>
        <v>0</v>
      </c>
      <c r="T322" s="539">
        <f t="shared" si="123"/>
        <v>3500000</v>
      </c>
      <c r="U322" s="539">
        <f t="shared" si="124"/>
        <v>0</v>
      </c>
      <c r="V322" s="540">
        <f t="shared" si="135"/>
        <v>0</v>
      </c>
    </row>
    <row r="323" spans="1:23" s="540" customFormat="1" ht="34.5" customHeight="1">
      <c r="A323" s="768"/>
      <c r="B323" s="775"/>
      <c r="C323" s="788"/>
      <c r="D323" s="672">
        <v>500000</v>
      </c>
      <c r="E323" s="672">
        <v>500000</v>
      </c>
      <c r="F323" s="786">
        <f>N323</f>
        <v>500000</v>
      </c>
      <c r="G323" s="672">
        <f t="shared" si="119"/>
        <v>0</v>
      </c>
      <c r="H323" s="1374" t="s">
        <v>217</v>
      </c>
      <c r="I323" s="1380">
        <v>500000</v>
      </c>
      <c r="J323" s="1067">
        <v>1</v>
      </c>
      <c r="K323" s="1066" t="s">
        <v>467</v>
      </c>
      <c r="L323" s="1376" t="s">
        <v>644</v>
      </c>
      <c r="M323" s="1129" t="s">
        <v>209</v>
      </c>
      <c r="N323" s="1377">
        <f>I323*J323</f>
        <v>500000</v>
      </c>
      <c r="P323" s="539">
        <f t="shared" si="129"/>
        <v>0</v>
      </c>
      <c r="Q323" s="539">
        <f t="shared" si="136"/>
        <v>0</v>
      </c>
      <c r="R323" s="539">
        <f t="shared" si="132"/>
        <v>0</v>
      </c>
      <c r="S323" s="539">
        <f t="shared" si="122"/>
        <v>0</v>
      </c>
      <c r="T323" s="539">
        <f t="shared" si="123"/>
        <v>500000</v>
      </c>
      <c r="U323" s="539">
        <f t="shared" si="124"/>
        <v>0</v>
      </c>
      <c r="V323" s="540">
        <f t="shared" si="135"/>
        <v>0</v>
      </c>
    </row>
    <row r="324" spans="1:23" s="540" customFormat="1" ht="28.5">
      <c r="A324" s="768"/>
      <c r="B324" s="775"/>
      <c r="C324" s="788"/>
      <c r="D324" s="672">
        <v>300000</v>
      </c>
      <c r="E324" s="672">
        <v>300000</v>
      </c>
      <c r="F324" s="786">
        <f>I324</f>
        <v>300000</v>
      </c>
      <c r="G324" s="672">
        <f t="shared" si="119"/>
        <v>0</v>
      </c>
      <c r="H324" s="1374" t="s">
        <v>610</v>
      </c>
      <c r="I324" s="1380">
        <v>300000</v>
      </c>
      <c r="J324" s="1067">
        <v>1</v>
      </c>
      <c r="K324" s="1066" t="s">
        <v>467</v>
      </c>
      <c r="L324" s="1376" t="s">
        <v>611</v>
      </c>
      <c r="M324" s="1129" t="s">
        <v>209</v>
      </c>
      <c r="N324" s="1377">
        <f t="shared" ref="N324:N327" si="137">I324*J324</f>
        <v>300000</v>
      </c>
      <c r="P324" s="539">
        <f t="shared" si="129"/>
        <v>0</v>
      </c>
      <c r="Q324" s="539">
        <f t="shared" si="136"/>
        <v>0</v>
      </c>
      <c r="R324" s="539">
        <f t="shared" si="132"/>
        <v>0</v>
      </c>
      <c r="S324" s="539">
        <f t="shared" si="122"/>
        <v>0</v>
      </c>
      <c r="T324" s="539">
        <f t="shared" si="123"/>
        <v>300000</v>
      </c>
      <c r="U324" s="539">
        <f t="shared" si="124"/>
        <v>0</v>
      </c>
      <c r="V324" s="540">
        <f t="shared" si="135"/>
        <v>0</v>
      </c>
    </row>
    <row r="325" spans="1:23" s="540" customFormat="1" ht="28.5">
      <c r="A325" s="768"/>
      <c r="B325" s="775"/>
      <c r="C325" s="788"/>
      <c r="D325" s="672">
        <v>300000</v>
      </c>
      <c r="E325" s="672">
        <v>300000</v>
      </c>
      <c r="F325" s="786">
        <f>N325</f>
        <v>300000</v>
      </c>
      <c r="G325" s="672">
        <f t="shared" si="119"/>
        <v>0</v>
      </c>
      <c r="H325" s="1374" t="s">
        <v>203</v>
      </c>
      <c r="I325" s="1380">
        <v>300000</v>
      </c>
      <c r="J325" s="1067">
        <v>1</v>
      </c>
      <c r="K325" s="1066" t="s">
        <v>467</v>
      </c>
      <c r="L325" s="1376" t="s">
        <v>612</v>
      </c>
      <c r="M325" s="1129" t="s">
        <v>209</v>
      </c>
      <c r="N325" s="1377">
        <f t="shared" si="137"/>
        <v>300000</v>
      </c>
      <c r="P325" s="539">
        <f t="shared" si="129"/>
        <v>0</v>
      </c>
      <c r="Q325" s="539">
        <f t="shared" si="136"/>
        <v>0</v>
      </c>
      <c r="R325" s="539">
        <f t="shared" si="132"/>
        <v>0</v>
      </c>
      <c r="S325" s="539">
        <f t="shared" si="122"/>
        <v>0</v>
      </c>
      <c r="T325" s="539">
        <f t="shared" si="123"/>
        <v>300000</v>
      </c>
      <c r="U325" s="539">
        <f t="shared" si="124"/>
        <v>0</v>
      </c>
      <c r="V325" s="540">
        <f t="shared" si="135"/>
        <v>0</v>
      </c>
    </row>
    <row r="326" spans="1:23" s="540" customFormat="1" ht="28.5">
      <c r="A326" s="768"/>
      <c r="B326" s="775"/>
      <c r="C326" s="788"/>
      <c r="D326" s="672">
        <v>1200000</v>
      </c>
      <c r="E326" s="672">
        <v>1200000</v>
      </c>
      <c r="F326" s="786">
        <f>N326</f>
        <v>1200000</v>
      </c>
      <c r="G326" s="672">
        <f t="shared" si="119"/>
        <v>0</v>
      </c>
      <c r="H326" s="1374" t="s">
        <v>216</v>
      </c>
      <c r="I326" s="1380">
        <v>1200000</v>
      </c>
      <c r="J326" s="1067">
        <v>1</v>
      </c>
      <c r="K326" s="1066" t="s">
        <v>467</v>
      </c>
      <c r="L326" s="1376" t="s">
        <v>613</v>
      </c>
      <c r="M326" s="1129" t="s">
        <v>209</v>
      </c>
      <c r="N326" s="1377">
        <f t="shared" si="137"/>
        <v>1200000</v>
      </c>
      <c r="P326" s="539">
        <f t="shared" ref="P326" si="138">IF($M326="보조금",$N326,0)</f>
        <v>0</v>
      </c>
      <c r="Q326" s="539">
        <f t="shared" ref="Q326" si="139">IF($M326="법인전입금",$N326,0)</f>
        <v>0</v>
      </c>
      <c r="R326" s="539">
        <f t="shared" si="132"/>
        <v>0</v>
      </c>
      <c r="S326" s="539">
        <f t="shared" si="122"/>
        <v>0</v>
      </c>
      <c r="T326" s="539">
        <f t="shared" si="123"/>
        <v>1200000</v>
      </c>
      <c r="U326" s="539">
        <f t="shared" si="124"/>
        <v>0</v>
      </c>
      <c r="V326" s="540">
        <f t="shared" si="135"/>
        <v>0</v>
      </c>
    </row>
    <row r="327" spans="1:23" s="540" customFormat="1">
      <c r="A327" s="768"/>
      <c r="B327" s="775"/>
      <c r="C327" s="788"/>
      <c r="D327" s="672">
        <v>1000000</v>
      </c>
      <c r="E327" s="672">
        <v>1000000</v>
      </c>
      <c r="F327" s="786">
        <f>N327</f>
        <v>0</v>
      </c>
      <c r="G327" s="672">
        <f t="shared" si="119"/>
        <v>-1000000</v>
      </c>
      <c r="H327" s="1374" t="s">
        <v>218</v>
      </c>
      <c r="I327" s="1380">
        <v>0</v>
      </c>
      <c r="J327" s="1067">
        <v>1</v>
      </c>
      <c r="K327" s="1066" t="s">
        <v>467</v>
      </c>
      <c r="L327" s="1376" t="s">
        <v>748</v>
      </c>
      <c r="M327" s="1129" t="s">
        <v>209</v>
      </c>
      <c r="N327" s="1377">
        <f t="shared" si="137"/>
        <v>0</v>
      </c>
      <c r="P327" s="539">
        <f t="shared" ref="P327" si="140">IF($M327="보조금",$N327,0)</f>
        <v>0</v>
      </c>
      <c r="Q327" s="539">
        <f t="shared" ref="Q327" si="141">IF($M327="법인전입금",$N327,0)</f>
        <v>0</v>
      </c>
      <c r="R327" s="539">
        <f t="shared" si="132"/>
        <v>0</v>
      </c>
      <c r="S327" s="539">
        <f t="shared" si="122"/>
        <v>0</v>
      </c>
      <c r="T327" s="539">
        <f t="shared" si="123"/>
        <v>0</v>
      </c>
      <c r="U327" s="539">
        <f t="shared" si="124"/>
        <v>0</v>
      </c>
      <c r="V327" s="540">
        <f t="shared" si="135"/>
        <v>0</v>
      </c>
    </row>
    <row r="328" spans="1:23" s="540" customFormat="1">
      <c r="A328" s="768"/>
      <c r="B328" s="775"/>
      <c r="C328" s="788"/>
      <c r="D328" s="672">
        <v>8180000</v>
      </c>
      <c r="E328" s="672">
        <v>9080000</v>
      </c>
      <c r="F328" s="786">
        <f>I328</f>
        <v>8310000</v>
      </c>
      <c r="G328" s="672">
        <f t="shared" si="119"/>
        <v>-770000</v>
      </c>
      <c r="H328" s="1334" t="s">
        <v>614</v>
      </c>
      <c r="I328" s="1346">
        <f>SUM(N329:N331)</f>
        <v>8310000</v>
      </c>
      <c r="J328" s="1054"/>
      <c r="K328" s="1053"/>
      <c r="L328" s="1335"/>
      <c r="M328" s="1123"/>
      <c r="N328" s="1337">
        <f>I328</f>
        <v>8310000</v>
      </c>
      <c r="P328" s="539">
        <f t="shared" ref="P328" si="142">IF($M328="보조금",$N328,0)</f>
        <v>0</v>
      </c>
      <c r="Q328" s="539">
        <f t="shared" ref="Q328" si="143">IF($M328="법인전입금",$N328,0)</f>
        <v>0</v>
      </c>
      <c r="R328" s="539">
        <f t="shared" si="132"/>
        <v>0</v>
      </c>
      <c r="S328" s="539">
        <f t="shared" si="122"/>
        <v>0</v>
      </c>
      <c r="T328" s="539">
        <f t="shared" si="123"/>
        <v>0</v>
      </c>
      <c r="U328" s="539">
        <f t="shared" si="124"/>
        <v>0</v>
      </c>
      <c r="V328" s="540">
        <f t="shared" si="135"/>
        <v>0</v>
      </c>
    </row>
    <row r="329" spans="1:23" s="540" customFormat="1" ht="28.5">
      <c r="A329" s="768"/>
      <c r="B329" s="775"/>
      <c r="C329" s="788"/>
      <c r="D329" s="672"/>
      <c r="E329" s="672"/>
      <c r="F329" s="786"/>
      <c r="G329" s="672"/>
      <c r="H329" s="1381"/>
      <c r="I329" s="1233">
        <v>10000</v>
      </c>
      <c r="J329" s="1180">
        <v>147</v>
      </c>
      <c r="K329" s="1178" t="s">
        <v>490</v>
      </c>
      <c r="L329" s="1378" t="s">
        <v>732</v>
      </c>
      <c r="M329" s="1379" t="s">
        <v>33</v>
      </c>
      <c r="N329" s="1260">
        <f>I329*J329</f>
        <v>1470000</v>
      </c>
      <c r="P329" s="539">
        <f t="shared" ref="P329:P331" si="144">IF($M329="보조금",$N329,0)</f>
        <v>1470000</v>
      </c>
      <c r="Q329" s="539">
        <f t="shared" ref="Q329:Q331" si="145">IF($M329="법인전입금",$N329,0)</f>
        <v>0</v>
      </c>
      <c r="R329" s="539">
        <f t="shared" si="132"/>
        <v>0</v>
      </c>
      <c r="S329" s="539">
        <f t="shared" si="122"/>
        <v>0</v>
      </c>
      <c r="T329" s="539">
        <f t="shared" si="123"/>
        <v>0</v>
      </c>
      <c r="U329" s="539">
        <f t="shared" si="124"/>
        <v>0</v>
      </c>
      <c r="V329" s="540">
        <f t="shared" si="135"/>
        <v>0</v>
      </c>
    </row>
    <row r="330" spans="1:23" s="540" customFormat="1">
      <c r="A330" s="768"/>
      <c r="B330" s="775"/>
      <c r="C330" s="788"/>
      <c r="D330" s="672"/>
      <c r="E330" s="672"/>
      <c r="F330" s="786"/>
      <c r="G330" s="672"/>
      <c r="H330" s="1381"/>
      <c r="I330" s="1233">
        <v>1840000</v>
      </c>
      <c r="J330" s="1180">
        <v>1</v>
      </c>
      <c r="K330" s="1178" t="s">
        <v>455</v>
      </c>
      <c r="L330" s="1359" t="s">
        <v>733</v>
      </c>
      <c r="M330" s="1379" t="s">
        <v>126</v>
      </c>
      <c r="N330" s="1260">
        <f t="shared" ref="N330:N331" si="146">I330*J330</f>
        <v>1840000</v>
      </c>
      <c r="P330" s="539">
        <f t="shared" si="144"/>
        <v>0</v>
      </c>
      <c r="Q330" s="539">
        <f t="shared" si="145"/>
        <v>1840000</v>
      </c>
      <c r="R330" s="539">
        <f t="shared" si="132"/>
        <v>0</v>
      </c>
      <c r="S330" s="539">
        <f t="shared" si="122"/>
        <v>0</v>
      </c>
      <c r="T330" s="539">
        <f t="shared" si="123"/>
        <v>0</v>
      </c>
      <c r="U330" s="539">
        <f t="shared" si="124"/>
        <v>0</v>
      </c>
      <c r="V330" s="540">
        <f t="shared" si="135"/>
        <v>0</v>
      </c>
    </row>
    <row r="331" spans="1:23" s="540" customFormat="1" ht="28.5">
      <c r="A331" s="768"/>
      <c r="B331" s="775"/>
      <c r="C331" s="788"/>
      <c r="D331" s="672"/>
      <c r="E331" s="672"/>
      <c r="F331" s="786"/>
      <c r="G331" s="672"/>
      <c r="H331" s="1382"/>
      <c r="I331" s="1236">
        <v>5000000</v>
      </c>
      <c r="J331" s="1061">
        <v>1</v>
      </c>
      <c r="K331" s="1060" t="s">
        <v>455</v>
      </c>
      <c r="L331" s="1383" t="s">
        <v>734</v>
      </c>
      <c r="M331" s="1125" t="s">
        <v>208</v>
      </c>
      <c r="N331" s="1126">
        <f t="shared" si="146"/>
        <v>5000000</v>
      </c>
      <c r="P331" s="539">
        <f t="shared" si="144"/>
        <v>0</v>
      </c>
      <c r="Q331" s="539">
        <f t="shared" si="145"/>
        <v>0</v>
      </c>
      <c r="R331" s="539">
        <f t="shared" si="132"/>
        <v>0</v>
      </c>
      <c r="S331" s="539">
        <f t="shared" si="122"/>
        <v>5000000</v>
      </c>
      <c r="T331" s="539">
        <f t="shared" si="123"/>
        <v>0</v>
      </c>
      <c r="U331" s="539">
        <f t="shared" si="124"/>
        <v>0</v>
      </c>
      <c r="V331" s="540">
        <f t="shared" si="135"/>
        <v>0</v>
      </c>
    </row>
    <row r="332" spans="1:23" s="540" customFormat="1" ht="15" thickBot="1">
      <c r="A332" s="768"/>
      <c r="B332" s="775"/>
      <c r="C332" s="788"/>
      <c r="D332" s="672">
        <v>3000000</v>
      </c>
      <c r="E332" s="672">
        <v>3000000</v>
      </c>
      <c r="F332" s="786">
        <f t="shared" ref="F332" si="147">I332</f>
        <v>3350000</v>
      </c>
      <c r="G332" s="672">
        <f t="shared" ref="G332" si="148">F332-E332</f>
        <v>350000</v>
      </c>
      <c r="H332" s="1374" t="s">
        <v>615</v>
      </c>
      <c r="I332" s="1380">
        <v>3350000</v>
      </c>
      <c r="J332" s="1067">
        <v>1</v>
      </c>
      <c r="K332" s="1066" t="s">
        <v>467</v>
      </c>
      <c r="L332" s="1101"/>
      <c r="M332" s="1129" t="s">
        <v>126</v>
      </c>
      <c r="N332" s="1384">
        <f>I332*J332</f>
        <v>3350000</v>
      </c>
      <c r="P332" s="539">
        <f t="shared" si="129"/>
        <v>0</v>
      </c>
      <c r="Q332" s="539">
        <f t="shared" si="136"/>
        <v>3350000</v>
      </c>
      <c r="R332" s="539">
        <f t="shared" si="131"/>
        <v>0</v>
      </c>
      <c r="S332" s="539">
        <f t="shared" si="122"/>
        <v>0</v>
      </c>
      <c r="T332" s="539">
        <f t="shared" si="123"/>
        <v>0</v>
      </c>
      <c r="U332" s="539">
        <f t="shared" si="124"/>
        <v>0</v>
      </c>
      <c r="V332" s="540">
        <f t="shared" si="135"/>
        <v>0</v>
      </c>
    </row>
    <row r="333" spans="1:23" s="540" customFormat="1" ht="21" hidden="1" customHeight="1" thickBot="1">
      <c r="A333" s="768"/>
      <c r="B333" s="768"/>
      <c r="C333" s="781"/>
      <c r="D333" s="786"/>
      <c r="E333" s="672"/>
      <c r="F333" s="672"/>
      <c r="G333" s="672"/>
      <c r="H333" s="1348"/>
      <c r="I333" s="1233"/>
      <c r="J333" s="1180"/>
      <c r="K333" s="1001"/>
      <c r="L333" s="1361"/>
      <c r="M333" s="1379"/>
      <c r="N333" s="1133"/>
      <c r="P333" s="539">
        <f t="shared" si="129"/>
        <v>0</v>
      </c>
      <c r="Q333" s="539">
        <f t="shared" si="136"/>
        <v>0</v>
      </c>
      <c r="R333" s="539">
        <f t="shared" si="131"/>
        <v>0</v>
      </c>
      <c r="S333" s="539">
        <f t="shared" si="122"/>
        <v>0</v>
      </c>
      <c r="T333" s="539">
        <f t="shared" si="123"/>
        <v>0</v>
      </c>
      <c r="U333" s="539">
        <f t="shared" si="124"/>
        <v>0</v>
      </c>
      <c r="V333" s="540">
        <f t="shared" si="135"/>
        <v>0</v>
      </c>
    </row>
    <row r="334" spans="1:23" s="540" customFormat="1" ht="21" customHeight="1" thickBot="1">
      <c r="A334" s="570" t="s">
        <v>204</v>
      </c>
      <c r="B334" s="570"/>
      <c r="C334" s="570"/>
      <c r="D334" s="766">
        <v>26087805</v>
      </c>
      <c r="E334" s="766">
        <v>25893283</v>
      </c>
      <c r="F334" s="766">
        <f t="shared" ref="F334:F335" si="149">F335</f>
        <v>27187453</v>
      </c>
      <c r="G334" s="571">
        <f>F334-E334</f>
        <v>1294170</v>
      </c>
      <c r="H334" s="1028"/>
      <c r="I334" s="1029"/>
      <c r="J334" s="1030"/>
      <c r="K334" s="1030"/>
      <c r="L334" s="1031"/>
      <c r="M334" s="1319"/>
      <c r="N334" s="1292">
        <f>N335</f>
        <v>27187453</v>
      </c>
      <c r="P334" s="539">
        <f>P335</f>
        <v>0</v>
      </c>
      <c r="Q334" s="539">
        <f t="shared" ref="Q334:Q335" si="150">Q335</f>
        <v>0</v>
      </c>
      <c r="R334" s="539">
        <f t="shared" ref="R334:R335" si="151">R335</f>
        <v>0</v>
      </c>
      <c r="S334" s="539">
        <f t="shared" ref="S334:S335" si="152">S335</f>
        <v>0</v>
      </c>
      <c r="T334" s="539">
        <f t="shared" ref="T334:V335" si="153">T335</f>
        <v>0</v>
      </c>
      <c r="U334" s="539">
        <f t="shared" si="153"/>
        <v>1245521</v>
      </c>
      <c r="V334" s="539">
        <f t="shared" si="153"/>
        <v>25941932</v>
      </c>
    </row>
    <row r="335" spans="1:23" s="540" customFormat="1" ht="21" customHeight="1" thickBot="1">
      <c r="A335" s="768"/>
      <c r="B335" s="570" t="s">
        <v>204</v>
      </c>
      <c r="C335" s="570"/>
      <c r="D335" s="766">
        <v>26087805</v>
      </c>
      <c r="E335" s="766">
        <v>25893283</v>
      </c>
      <c r="F335" s="766">
        <f t="shared" si="149"/>
        <v>27187453</v>
      </c>
      <c r="G335" s="571">
        <f>F335-E335</f>
        <v>1294170</v>
      </c>
      <c r="H335" s="1045" t="s">
        <v>204</v>
      </c>
      <c r="I335" s="1046"/>
      <c r="J335" s="1047"/>
      <c r="K335" s="1047"/>
      <c r="L335" s="1048"/>
      <c r="M335" s="1049"/>
      <c r="N335" s="1292">
        <f>N336</f>
        <v>27187453</v>
      </c>
      <c r="P335" s="539">
        <f>P336</f>
        <v>0</v>
      </c>
      <c r="Q335" s="539">
        <f t="shared" si="150"/>
        <v>0</v>
      </c>
      <c r="R335" s="539">
        <f t="shared" si="151"/>
        <v>0</v>
      </c>
      <c r="S335" s="539">
        <f t="shared" si="152"/>
        <v>0</v>
      </c>
      <c r="T335" s="539">
        <f t="shared" si="153"/>
        <v>0</v>
      </c>
      <c r="U335" s="539">
        <f t="shared" si="153"/>
        <v>1245521</v>
      </c>
      <c r="V335" s="539">
        <f t="shared" si="153"/>
        <v>25941932</v>
      </c>
    </row>
    <row r="336" spans="1:23" s="540" customFormat="1" ht="21" customHeight="1" thickBot="1">
      <c r="A336" s="768"/>
      <c r="B336" s="768"/>
      <c r="C336" s="570" t="s">
        <v>204</v>
      </c>
      <c r="D336" s="766">
        <v>26087805</v>
      </c>
      <c r="E336" s="766">
        <v>25893283</v>
      </c>
      <c r="F336" s="766">
        <f>SUM(F337:F344)</f>
        <v>27187453</v>
      </c>
      <c r="G336" s="570">
        <f>F336-E336</f>
        <v>1294170</v>
      </c>
      <c r="H336" s="1045" t="s">
        <v>204</v>
      </c>
      <c r="I336" s="1046"/>
      <c r="J336" s="1047"/>
      <c r="K336" s="1047"/>
      <c r="L336" s="1048"/>
      <c r="M336" s="1049"/>
      <c r="N336" s="1032">
        <f>SUM(N337,N340:N344)</f>
        <v>27187453</v>
      </c>
      <c r="P336" s="539">
        <f t="shared" ref="P336:W336" si="154">SUM(P337:P344)</f>
        <v>0</v>
      </c>
      <c r="Q336" s="539">
        <f t="shared" si="154"/>
        <v>0</v>
      </c>
      <c r="R336" s="539">
        <f t="shared" si="154"/>
        <v>0</v>
      </c>
      <c r="S336" s="539">
        <f t="shared" si="154"/>
        <v>0</v>
      </c>
      <c r="T336" s="539">
        <f t="shared" si="154"/>
        <v>0</v>
      </c>
      <c r="U336" s="539">
        <f t="shared" si="154"/>
        <v>1245521</v>
      </c>
      <c r="V336" s="539">
        <f t="shared" si="154"/>
        <v>25941932</v>
      </c>
      <c r="W336" s="540">
        <f t="shared" si="154"/>
        <v>0</v>
      </c>
    </row>
    <row r="337" spans="1:23" s="540" customFormat="1" ht="21" customHeight="1">
      <c r="A337" s="768"/>
      <c r="B337" s="768"/>
      <c r="C337" s="781"/>
      <c r="D337" s="778"/>
      <c r="E337" s="778"/>
      <c r="F337" s="778"/>
      <c r="G337" s="778">
        <f>F337-E337</f>
        <v>0</v>
      </c>
      <c r="H337" s="1385" t="s">
        <v>495</v>
      </c>
      <c r="I337" s="1386">
        <f>SUM(N338:N339)</f>
        <v>14373870</v>
      </c>
      <c r="J337" s="1387"/>
      <c r="K337" s="1335"/>
      <c r="L337" s="1335"/>
      <c r="M337" s="1127"/>
      <c r="N337" s="1124">
        <f>I337</f>
        <v>14373870</v>
      </c>
      <c r="P337" s="539">
        <f t="shared" ref="P337:P344" si="155">IF($M337="보조금",$N337,0)</f>
        <v>0</v>
      </c>
      <c r="Q337" s="539">
        <f t="shared" ref="Q337:Q344" si="156">IF($M337="법인전입금",$N337,0)</f>
        <v>0</v>
      </c>
      <c r="R337" s="539">
        <f t="shared" ref="R337:R344" si="157">IF($M337="구법인",$I337,0)</f>
        <v>0</v>
      </c>
      <c r="S337" s="539">
        <f t="shared" ref="S337:S344" si="158">IF($M337="지정후원금",$N337,0)</f>
        <v>0</v>
      </c>
      <c r="T337" s="539">
        <f t="shared" ref="T337:T344" si="159">IF($M337="비지정후원금",$N337,0)</f>
        <v>0</v>
      </c>
      <c r="U337" s="539">
        <f t="shared" si="124"/>
        <v>0</v>
      </c>
      <c r="V337" s="540">
        <f t="shared" si="135"/>
        <v>0</v>
      </c>
      <c r="W337" s="539">
        <f t="shared" ref="W337" si="160">IF(OR($M337="잡지출"),$N337,0)</f>
        <v>0</v>
      </c>
    </row>
    <row r="338" spans="1:23" s="540" customFormat="1" ht="42.75">
      <c r="A338" s="768"/>
      <c r="B338" s="768"/>
      <c r="C338" s="788"/>
      <c r="D338" s="778">
        <v>14400000</v>
      </c>
      <c r="E338" s="778">
        <v>14400000</v>
      </c>
      <c r="F338" s="778">
        <f>N338</f>
        <v>14203870</v>
      </c>
      <c r="G338" s="778">
        <f t="shared" ref="G338:G344" si="161">F338-E338</f>
        <v>-196130</v>
      </c>
      <c r="H338" s="1184" t="s">
        <v>250</v>
      </c>
      <c r="I338" s="1361">
        <v>1200000</v>
      </c>
      <c r="J338" s="1329">
        <v>12</v>
      </c>
      <c r="K338" s="1361" t="s">
        <v>453</v>
      </c>
      <c r="L338" s="1178" t="s">
        <v>740</v>
      </c>
      <c r="M338" s="1350" t="s">
        <v>36</v>
      </c>
      <c r="N338" s="1260">
        <v>14203870</v>
      </c>
      <c r="P338" s="539">
        <f t="shared" si="155"/>
        <v>0</v>
      </c>
      <c r="Q338" s="539">
        <f t="shared" si="156"/>
        <v>0</v>
      </c>
      <c r="R338" s="539">
        <f t="shared" si="157"/>
        <v>0</v>
      </c>
      <c r="S338" s="539">
        <f t="shared" si="158"/>
        <v>0</v>
      </c>
      <c r="T338" s="539">
        <f t="shared" si="159"/>
        <v>0</v>
      </c>
      <c r="U338" s="539">
        <f t="shared" si="124"/>
        <v>0</v>
      </c>
      <c r="V338" s="540">
        <f t="shared" si="135"/>
        <v>14203870</v>
      </c>
      <c r="W338" s="539"/>
    </row>
    <row r="339" spans="1:23" s="540" customFormat="1" ht="21" customHeight="1">
      <c r="A339" s="768"/>
      <c r="B339" s="768"/>
      <c r="C339" s="788"/>
      <c r="D339" s="778"/>
      <c r="E339" s="778">
        <v>300000</v>
      </c>
      <c r="F339" s="778">
        <f t="shared" ref="F339" si="162">N339</f>
        <v>170000</v>
      </c>
      <c r="G339" s="778">
        <f t="shared" si="161"/>
        <v>-130000</v>
      </c>
      <c r="H339" s="1388" t="s">
        <v>496</v>
      </c>
      <c r="I339" s="1389">
        <v>170000</v>
      </c>
      <c r="J339" s="1332">
        <v>1</v>
      </c>
      <c r="K339" s="1390" t="s">
        <v>467</v>
      </c>
      <c r="L339" s="1390"/>
      <c r="M339" s="1353" t="s">
        <v>36</v>
      </c>
      <c r="N339" s="1126">
        <f>I339*J339</f>
        <v>170000</v>
      </c>
      <c r="P339" s="539">
        <f t="shared" si="155"/>
        <v>0</v>
      </c>
      <c r="Q339" s="539">
        <f t="shared" si="156"/>
        <v>0</v>
      </c>
      <c r="R339" s="539">
        <f t="shared" si="157"/>
        <v>0</v>
      </c>
      <c r="S339" s="539">
        <f t="shared" si="158"/>
        <v>0</v>
      </c>
      <c r="T339" s="539">
        <f t="shared" si="159"/>
        <v>0</v>
      </c>
      <c r="U339" s="539">
        <f t="shared" si="124"/>
        <v>0</v>
      </c>
      <c r="V339" s="540">
        <f t="shared" si="135"/>
        <v>170000</v>
      </c>
      <c r="W339" s="539"/>
    </row>
    <row r="340" spans="1:23" s="540" customFormat="1" ht="21" customHeight="1">
      <c r="A340" s="768"/>
      <c r="B340" s="768"/>
      <c r="C340" s="788"/>
      <c r="D340" s="778"/>
      <c r="E340" s="778"/>
      <c r="F340" s="778">
        <f>N340</f>
        <v>450000</v>
      </c>
      <c r="G340" s="778">
        <f t="shared" si="161"/>
        <v>450000</v>
      </c>
      <c r="H340" s="1391" t="s">
        <v>707</v>
      </c>
      <c r="I340" s="1392">
        <v>450000</v>
      </c>
      <c r="J340" s="1393">
        <v>1</v>
      </c>
      <c r="K340" s="1101" t="s">
        <v>684</v>
      </c>
      <c r="L340" s="1101" t="s">
        <v>709</v>
      </c>
      <c r="M340" s="1102" t="s">
        <v>36</v>
      </c>
      <c r="N340" s="1126">
        <f>I340*J340</f>
        <v>450000</v>
      </c>
      <c r="P340" s="539">
        <f t="shared" si="155"/>
        <v>0</v>
      </c>
      <c r="Q340" s="539">
        <f t="shared" si="156"/>
        <v>0</v>
      </c>
      <c r="R340" s="539">
        <f t="shared" si="157"/>
        <v>0</v>
      </c>
      <c r="S340" s="539">
        <f t="shared" si="158"/>
        <v>0</v>
      </c>
      <c r="T340" s="539">
        <f t="shared" si="159"/>
        <v>0</v>
      </c>
      <c r="U340" s="539">
        <f t="shared" si="124"/>
        <v>0</v>
      </c>
      <c r="V340" s="540">
        <f t="shared" si="135"/>
        <v>450000</v>
      </c>
      <c r="W340" s="539"/>
    </row>
    <row r="341" spans="1:23" s="540" customFormat="1" ht="21" customHeight="1">
      <c r="A341" s="768"/>
      <c r="B341" s="768"/>
      <c r="C341" s="788"/>
      <c r="D341" s="778"/>
      <c r="E341" s="778"/>
      <c r="F341" s="778">
        <f>N341</f>
        <v>1170300</v>
      </c>
      <c r="G341" s="778">
        <f t="shared" si="161"/>
        <v>1170300</v>
      </c>
      <c r="H341" s="1391" t="s">
        <v>714</v>
      </c>
      <c r="I341" s="1392">
        <v>1170300</v>
      </c>
      <c r="J341" s="1393">
        <v>1</v>
      </c>
      <c r="K341" s="1101" t="s">
        <v>467</v>
      </c>
      <c r="L341" s="1101" t="s">
        <v>715</v>
      </c>
      <c r="M341" s="1102" t="s">
        <v>36</v>
      </c>
      <c r="N341" s="1130">
        <v>1170300</v>
      </c>
      <c r="P341" s="539">
        <f t="shared" si="155"/>
        <v>0</v>
      </c>
      <c r="Q341" s="539">
        <f t="shared" si="156"/>
        <v>0</v>
      </c>
      <c r="R341" s="539">
        <f t="shared" si="157"/>
        <v>0</v>
      </c>
      <c r="S341" s="539">
        <f t="shared" si="158"/>
        <v>0</v>
      </c>
      <c r="T341" s="539">
        <f t="shared" si="159"/>
        <v>0</v>
      </c>
      <c r="U341" s="539">
        <f t="shared" si="124"/>
        <v>0</v>
      </c>
      <c r="V341" s="540">
        <f t="shared" si="135"/>
        <v>1170300</v>
      </c>
      <c r="W341" s="539"/>
    </row>
    <row r="342" spans="1:23" s="540" customFormat="1" ht="21" customHeight="1">
      <c r="A342" s="768"/>
      <c r="B342" s="768"/>
      <c r="C342" s="788"/>
      <c r="D342" s="778">
        <v>1745000</v>
      </c>
      <c r="E342" s="778">
        <v>1245521</v>
      </c>
      <c r="F342" s="778">
        <f>N342</f>
        <v>1245521</v>
      </c>
      <c r="G342" s="778">
        <f t="shared" si="161"/>
        <v>0</v>
      </c>
      <c r="H342" s="1313" t="s">
        <v>522</v>
      </c>
      <c r="I342" s="1314">
        <v>1245521</v>
      </c>
      <c r="J342" s="1076">
        <v>1</v>
      </c>
      <c r="K342" s="1162" t="s">
        <v>467</v>
      </c>
      <c r="L342" s="1315"/>
      <c r="M342" s="1316" t="s">
        <v>476</v>
      </c>
      <c r="N342" s="1151">
        <f>I342*J342</f>
        <v>1245521</v>
      </c>
      <c r="P342" s="539">
        <f t="shared" si="155"/>
        <v>0</v>
      </c>
      <c r="Q342" s="539">
        <f t="shared" si="156"/>
        <v>0</v>
      </c>
      <c r="R342" s="539">
        <f t="shared" si="157"/>
        <v>0</v>
      </c>
      <c r="S342" s="539">
        <f t="shared" si="158"/>
        <v>0</v>
      </c>
      <c r="T342" s="539">
        <f t="shared" si="159"/>
        <v>0</v>
      </c>
      <c r="U342" s="539">
        <f t="shared" si="124"/>
        <v>1245521</v>
      </c>
      <c r="V342" s="540">
        <f t="shared" si="135"/>
        <v>0</v>
      </c>
      <c r="W342" s="539"/>
    </row>
    <row r="343" spans="1:23" s="540" customFormat="1" ht="21" customHeight="1">
      <c r="A343" s="768"/>
      <c r="B343" s="768"/>
      <c r="C343" s="787"/>
      <c r="D343" s="778">
        <v>9942628</v>
      </c>
      <c r="E343" s="778">
        <v>9947585</v>
      </c>
      <c r="F343" s="778">
        <f>N343</f>
        <v>9947585</v>
      </c>
      <c r="G343" s="778">
        <f t="shared" si="161"/>
        <v>0</v>
      </c>
      <c r="H343" s="1394" t="s">
        <v>448</v>
      </c>
      <c r="I343" s="1395">
        <v>9947585</v>
      </c>
      <c r="J343" s="1387">
        <v>1</v>
      </c>
      <c r="K343" s="1335" t="s">
        <v>467</v>
      </c>
      <c r="L343" s="1335"/>
      <c r="M343" s="1127" t="s">
        <v>36</v>
      </c>
      <c r="N343" s="1131">
        <f>I343*J343</f>
        <v>9947585</v>
      </c>
      <c r="P343" s="539">
        <f t="shared" si="155"/>
        <v>0</v>
      </c>
      <c r="Q343" s="539">
        <f t="shared" si="156"/>
        <v>0</v>
      </c>
      <c r="R343" s="539">
        <f t="shared" si="157"/>
        <v>0</v>
      </c>
      <c r="S343" s="539">
        <f t="shared" si="158"/>
        <v>0</v>
      </c>
      <c r="T343" s="539">
        <f t="shared" si="159"/>
        <v>0</v>
      </c>
      <c r="U343" s="539">
        <f t="shared" si="124"/>
        <v>0</v>
      </c>
      <c r="V343" s="540">
        <f t="shared" si="135"/>
        <v>9947585</v>
      </c>
      <c r="W343" s="539"/>
    </row>
    <row r="344" spans="1:23" s="540" customFormat="1" ht="21" customHeight="1" thickBot="1">
      <c r="A344" s="768"/>
      <c r="B344" s="768"/>
      <c r="C344" s="787"/>
      <c r="D344" s="778"/>
      <c r="E344" s="778">
        <v>177</v>
      </c>
      <c r="F344" s="778">
        <f>N344</f>
        <v>177</v>
      </c>
      <c r="G344" s="778">
        <f t="shared" si="161"/>
        <v>0</v>
      </c>
      <c r="H344" s="1396" t="s">
        <v>204</v>
      </c>
      <c r="I344" s="1368">
        <v>177</v>
      </c>
      <c r="J344" s="1397">
        <v>1</v>
      </c>
      <c r="K344" s="1162" t="s">
        <v>467</v>
      </c>
      <c r="L344" s="1162"/>
      <c r="M344" s="1163" t="s">
        <v>36</v>
      </c>
      <c r="N344" s="1260">
        <v>177</v>
      </c>
      <c r="P344" s="539">
        <f t="shared" si="155"/>
        <v>0</v>
      </c>
      <c r="Q344" s="539">
        <f t="shared" si="156"/>
        <v>0</v>
      </c>
      <c r="R344" s="539">
        <f t="shared" si="157"/>
        <v>0</v>
      </c>
      <c r="S344" s="539">
        <f t="shared" si="158"/>
        <v>0</v>
      </c>
      <c r="T344" s="539">
        <f t="shared" si="159"/>
        <v>0</v>
      </c>
      <c r="U344" s="539">
        <f t="shared" si="124"/>
        <v>0</v>
      </c>
      <c r="V344" s="540">
        <f t="shared" si="135"/>
        <v>177</v>
      </c>
      <c r="W344" s="539"/>
    </row>
    <row r="345" spans="1:23" s="540" customFormat="1" ht="21" customHeight="1" thickBot="1">
      <c r="A345" s="719" t="s">
        <v>439</v>
      </c>
      <c r="B345" s="790"/>
      <c r="C345" s="570"/>
      <c r="D345" s="719">
        <v>46000000</v>
      </c>
      <c r="E345" s="719">
        <v>43895350</v>
      </c>
      <c r="F345" s="719">
        <f>F346</f>
        <v>43895350</v>
      </c>
      <c r="G345" s="571">
        <f>F345-E345</f>
        <v>0</v>
      </c>
      <c r="H345" s="1028"/>
      <c r="I345" s="1029"/>
      <c r="J345" s="1030"/>
      <c r="K345" s="1030"/>
      <c r="L345" s="1398"/>
      <c r="M345" s="1399"/>
      <c r="N345" s="1400">
        <f>N346</f>
        <v>43895350</v>
      </c>
      <c r="P345" s="539">
        <f t="shared" ref="P345:U345" si="163">P346</f>
        <v>0</v>
      </c>
      <c r="Q345" s="539">
        <f t="shared" si="163"/>
        <v>0</v>
      </c>
      <c r="R345" s="539">
        <f t="shared" si="163"/>
        <v>0</v>
      </c>
      <c r="S345" s="539">
        <f t="shared" si="163"/>
        <v>0</v>
      </c>
      <c r="T345" s="539">
        <f t="shared" si="163"/>
        <v>0</v>
      </c>
      <c r="U345" s="539">
        <f t="shared" si="163"/>
        <v>0</v>
      </c>
      <c r="V345" s="539"/>
    </row>
    <row r="346" spans="1:23" s="540" customFormat="1" ht="21" customHeight="1" thickBot="1">
      <c r="A346" s="790"/>
      <c r="B346" s="719" t="s">
        <v>442</v>
      </c>
      <c r="C346" s="774"/>
      <c r="D346" s="789">
        <v>46000000</v>
      </c>
      <c r="E346" s="789">
        <v>43895350</v>
      </c>
      <c r="F346" s="789">
        <f>F347</f>
        <v>43895350</v>
      </c>
      <c r="G346" s="571">
        <f>F346-E346</f>
        <v>0</v>
      </c>
      <c r="H346" s="1401"/>
      <c r="I346" s="1402"/>
      <c r="J346" s="1403"/>
      <c r="K346" s="1403"/>
      <c r="L346" s="1404"/>
      <c r="M346" s="1405"/>
      <c r="N346" s="1406">
        <f>N347</f>
        <v>43895350</v>
      </c>
      <c r="P346" s="539"/>
      <c r="Q346" s="539">
        <f t="shared" ref="Q346:U346" si="164">Q347</f>
        <v>0</v>
      </c>
      <c r="R346" s="539">
        <f t="shared" si="164"/>
        <v>0</v>
      </c>
      <c r="S346" s="539">
        <f t="shared" si="164"/>
        <v>0</v>
      </c>
      <c r="T346" s="539">
        <f t="shared" si="164"/>
        <v>0</v>
      </c>
      <c r="U346" s="539">
        <f t="shared" si="164"/>
        <v>0</v>
      </c>
      <c r="V346" s="539"/>
    </row>
    <row r="347" spans="1:23" s="540" customFormat="1" ht="21" customHeight="1" thickBot="1">
      <c r="A347" s="787"/>
      <c r="B347" s="731"/>
      <c r="C347" s="768" t="s">
        <v>403</v>
      </c>
      <c r="D347" s="785">
        <v>46000000</v>
      </c>
      <c r="E347" s="785">
        <v>43895350</v>
      </c>
      <c r="F347" s="785">
        <f>SUM(F348:F354)</f>
        <v>43895350</v>
      </c>
      <c r="G347" s="773">
        <f>F347-E347</f>
        <v>0</v>
      </c>
      <c r="H347" s="1305" t="s">
        <v>205</v>
      </c>
      <c r="I347" s="1306"/>
      <c r="J347" s="1307"/>
      <c r="K347" s="1307"/>
      <c r="L347" s="1407"/>
      <c r="M347" s="1408"/>
      <c r="N347" s="1400">
        <f>SUM(N348:N354)</f>
        <v>43895350</v>
      </c>
      <c r="P347" s="539">
        <f t="shared" ref="P347:V347" si="165">SUM(P348:P354)</f>
        <v>43895350</v>
      </c>
      <c r="Q347" s="539">
        <f t="shared" si="165"/>
        <v>0</v>
      </c>
      <c r="R347" s="539">
        <f t="shared" si="165"/>
        <v>0</v>
      </c>
      <c r="S347" s="539">
        <f t="shared" si="165"/>
        <v>0</v>
      </c>
      <c r="T347" s="539">
        <f t="shared" si="165"/>
        <v>0</v>
      </c>
      <c r="U347" s="539">
        <f t="shared" si="165"/>
        <v>0</v>
      </c>
      <c r="V347" s="539">
        <f t="shared" si="165"/>
        <v>0</v>
      </c>
    </row>
    <row r="348" spans="1:23" s="540" customFormat="1" ht="21" customHeight="1">
      <c r="A348" s="736"/>
      <c r="B348" s="710"/>
      <c r="C348" s="791"/>
      <c r="D348" s="710"/>
      <c r="E348" s="779"/>
      <c r="F348" s="779">
        <f>N348</f>
        <v>0</v>
      </c>
      <c r="G348" s="779">
        <f t="shared" ref="G348:G352" si="166">F348-E348</f>
        <v>0</v>
      </c>
      <c r="H348" s="1310" t="s">
        <v>497</v>
      </c>
      <c r="I348" s="1311">
        <f>SUM(I349:I354)</f>
        <v>43895350</v>
      </c>
      <c r="J348" s="1321"/>
      <c r="K348" s="1158"/>
      <c r="L348" s="1158"/>
      <c r="M348" s="1159" t="s">
        <v>33</v>
      </c>
      <c r="N348" s="1120"/>
      <c r="P348" s="539">
        <f>IF($M348="보조금",$N348,0)</f>
        <v>0</v>
      </c>
      <c r="Q348" s="539">
        <f t="shared" ref="Q348:Q354" si="167">IF($M348="법인전입금",$N348,0)</f>
        <v>0</v>
      </c>
      <c r="R348" s="539">
        <f t="shared" ref="R348:R354" si="168">IF($M348="구법인",$I348,0)</f>
        <v>0</v>
      </c>
      <c r="S348" s="539">
        <f t="shared" ref="S348:S354" si="169">IF($M348="지정후원금",$N348,0)</f>
        <v>0</v>
      </c>
      <c r="T348" s="539">
        <f t="shared" ref="T348:T354" si="170">IF($M348="비지정후원금",$N348,0)</f>
        <v>0</v>
      </c>
      <c r="U348" s="539">
        <f t="shared" ref="U348:U354" si="171">IF(OR($M348="수익사업"),$N348,0)</f>
        <v>0</v>
      </c>
      <c r="V348" s="540">
        <f t="shared" si="135"/>
        <v>0</v>
      </c>
    </row>
    <row r="349" spans="1:23" s="540" customFormat="1" ht="21" customHeight="1">
      <c r="A349" s="787"/>
      <c r="B349" s="655"/>
      <c r="C349" s="672"/>
      <c r="D349" s="655">
        <v>25000000</v>
      </c>
      <c r="E349" s="672">
        <v>16219543</v>
      </c>
      <c r="F349" s="672">
        <f t="shared" ref="F349:F354" si="172">N349</f>
        <v>16219543</v>
      </c>
      <c r="G349" s="672">
        <f t="shared" si="166"/>
        <v>0</v>
      </c>
      <c r="H349" s="1184" t="s">
        <v>661</v>
      </c>
      <c r="I349" s="1339">
        <v>16219543</v>
      </c>
      <c r="J349" s="1329">
        <v>1</v>
      </c>
      <c r="K349" s="1361" t="s">
        <v>467</v>
      </c>
      <c r="L349" s="1361" t="s">
        <v>602</v>
      </c>
      <c r="M349" s="1350" t="s">
        <v>33</v>
      </c>
      <c r="N349" s="1260">
        <f>I349*J349</f>
        <v>16219543</v>
      </c>
      <c r="P349" s="539">
        <f t="shared" ref="P349:P354" si="173">IF($M349="보조금",$N349,0)</f>
        <v>16219543</v>
      </c>
      <c r="Q349" s="539">
        <f t="shared" si="167"/>
        <v>0</v>
      </c>
      <c r="R349" s="539">
        <f t="shared" si="168"/>
        <v>0</v>
      </c>
      <c r="S349" s="539">
        <f t="shared" si="169"/>
        <v>0</v>
      </c>
      <c r="T349" s="539">
        <f t="shared" si="170"/>
        <v>0</v>
      </c>
      <c r="U349" s="539">
        <f t="shared" si="171"/>
        <v>0</v>
      </c>
      <c r="V349" s="540">
        <f t="shared" si="135"/>
        <v>0</v>
      </c>
    </row>
    <row r="350" spans="1:23" s="540" customFormat="1" ht="21" customHeight="1">
      <c r="A350" s="787"/>
      <c r="B350" s="655"/>
      <c r="C350" s="672"/>
      <c r="D350" s="655">
        <v>5000000</v>
      </c>
      <c r="E350" s="672">
        <v>7521756</v>
      </c>
      <c r="F350" s="672">
        <f t="shared" si="172"/>
        <v>7521756</v>
      </c>
      <c r="G350" s="672">
        <f t="shared" si="166"/>
        <v>0</v>
      </c>
      <c r="H350" s="1184" t="s">
        <v>664</v>
      </c>
      <c r="I350" s="1339">
        <v>7521756</v>
      </c>
      <c r="J350" s="1329">
        <v>1</v>
      </c>
      <c r="K350" s="1361" t="s">
        <v>467</v>
      </c>
      <c r="L350" s="1361" t="s">
        <v>602</v>
      </c>
      <c r="M350" s="1350" t="s">
        <v>33</v>
      </c>
      <c r="N350" s="1260">
        <f t="shared" ref="N350:N354" si="174">I350*J350</f>
        <v>7521756</v>
      </c>
      <c r="P350" s="539">
        <f t="shared" si="173"/>
        <v>7521756</v>
      </c>
      <c r="Q350" s="539">
        <f t="shared" si="167"/>
        <v>0</v>
      </c>
      <c r="R350" s="539">
        <f t="shared" si="168"/>
        <v>0</v>
      </c>
      <c r="S350" s="539">
        <f t="shared" si="169"/>
        <v>0</v>
      </c>
      <c r="T350" s="539">
        <f t="shared" si="170"/>
        <v>0</v>
      </c>
      <c r="U350" s="539">
        <f t="shared" si="171"/>
        <v>0</v>
      </c>
      <c r="V350" s="540">
        <f t="shared" si="135"/>
        <v>0</v>
      </c>
    </row>
    <row r="351" spans="1:23" s="540" customFormat="1" ht="21" customHeight="1">
      <c r="A351" s="787"/>
      <c r="B351" s="655"/>
      <c r="C351" s="672"/>
      <c r="D351" s="655">
        <v>16000000</v>
      </c>
      <c r="E351" s="672">
        <v>19152367</v>
      </c>
      <c r="F351" s="672">
        <f t="shared" si="172"/>
        <v>19152367</v>
      </c>
      <c r="G351" s="672">
        <f t="shared" si="166"/>
        <v>0</v>
      </c>
      <c r="H351" s="1184" t="s">
        <v>662</v>
      </c>
      <c r="I351" s="1339">
        <v>19152367</v>
      </c>
      <c r="J351" s="1329">
        <v>1</v>
      </c>
      <c r="K351" s="1361" t="s">
        <v>467</v>
      </c>
      <c r="L351" s="1361" t="s">
        <v>498</v>
      </c>
      <c r="M351" s="1350" t="s">
        <v>33</v>
      </c>
      <c r="N351" s="1260">
        <f t="shared" si="174"/>
        <v>19152367</v>
      </c>
      <c r="P351" s="539">
        <f t="shared" si="173"/>
        <v>19152367</v>
      </c>
      <c r="Q351" s="539">
        <f t="shared" si="167"/>
        <v>0</v>
      </c>
      <c r="R351" s="539">
        <f t="shared" si="168"/>
        <v>0</v>
      </c>
      <c r="S351" s="539">
        <f t="shared" si="169"/>
        <v>0</v>
      </c>
      <c r="T351" s="539">
        <f t="shared" si="170"/>
        <v>0</v>
      </c>
      <c r="U351" s="539">
        <f t="shared" si="171"/>
        <v>0</v>
      </c>
      <c r="V351" s="540">
        <f t="shared" si="135"/>
        <v>0</v>
      </c>
    </row>
    <row r="352" spans="1:23" s="540" customFormat="1" ht="21" customHeight="1">
      <c r="A352" s="787"/>
      <c r="B352" s="655"/>
      <c r="C352" s="672"/>
      <c r="D352" s="655"/>
      <c r="E352" s="672">
        <v>737658</v>
      </c>
      <c r="F352" s="672">
        <f>N352</f>
        <v>737658</v>
      </c>
      <c r="G352" s="672">
        <f t="shared" si="166"/>
        <v>0</v>
      </c>
      <c r="H352" s="1409" t="s">
        <v>665</v>
      </c>
      <c r="I352" s="1410">
        <v>737658</v>
      </c>
      <c r="J352" s="1411">
        <v>1</v>
      </c>
      <c r="K352" s="1121" t="s">
        <v>467</v>
      </c>
      <c r="L352" s="1412" t="s">
        <v>498</v>
      </c>
      <c r="M352" s="1350" t="s">
        <v>33</v>
      </c>
      <c r="N352" s="1260">
        <f t="shared" si="174"/>
        <v>737658</v>
      </c>
      <c r="P352" s="539">
        <f t="shared" si="173"/>
        <v>737658</v>
      </c>
      <c r="Q352" s="539">
        <f t="shared" si="167"/>
        <v>0</v>
      </c>
      <c r="R352" s="539">
        <f t="shared" si="168"/>
        <v>0</v>
      </c>
      <c r="S352" s="539">
        <f t="shared" si="169"/>
        <v>0</v>
      </c>
      <c r="T352" s="539">
        <f t="shared" si="170"/>
        <v>0</v>
      </c>
      <c r="U352" s="539">
        <f t="shared" si="171"/>
        <v>0</v>
      </c>
      <c r="V352" s="540">
        <f t="shared" si="135"/>
        <v>0</v>
      </c>
    </row>
    <row r="353" spans="1:22" s="540" customFormat="1" ht="21" customHeight="1">
      <c r="A353" s="787"/>
      <c r="B353" s="655"/>
      <c r="C353" s="672"/>
      <c r="D353" s="655"/>
      <c r="E353" s="672">
        <v>8590</v>
      </c>
      <c r="F353" s="672">
        <f>N353</f>
        <v>8590</v>
      </c>
      <c r="G353" s="672">
        <f>F353-E353</f>
        <v>0</v>
      </c>
      <c r="H353" s="1409" t="s">
        <v>666</v>
      </c>
      <c r="I353" s="1410">
        <v>8590</v>
      </c>
      <c r="J353" s="1411">
        <v>1</v>
      </c>
      <c r="K353" s="1121" t="s">
        <v>467</v>
      </c>
      <c r="L353" s="1412" t="s">
        <v>498</v>
      </c>
      <c r="M353" s="1350" t="s">
        <v>33</v>
      </c>
      <c r="N353" s="1260">
        <f t="shared" si="174"/>
        <v>8590</v>
      </c>
      <c r="P353" s="539">
        <f t="shared" si="173"/>
        <v>8590</v>
      </c>
      <c r="Q353" s="539">
        <f t="shared" si="167"/>
        <v>0</v>
      </c>
      <c r="R353" s="539">
        <f t="shared" si="168"/>
        <v>0</v>
      </c>
      <c r="S353" s="539">
        <f t="shared" si="169"/>
        <v>0</v>
      </c>
      <c r="T353" s="539">
        <f t="shared" si="170"/>
        <v>0</v>
      </c>
      <c r="U353" s="539">
        <f t="shared" si="171"/>
        <v>0</v>
      </c>
      <c r="V353" s="540">
        <f t="shared" si="135"/>
        <v>0</v>
      </c>
    </row>
    <row r="354" spans="1:22" s="540" customFormat="1" ht="21" customHeight="1" thickBot="1">
      <c r="A354" s="755"/>
      <c r="B354" s="660"/>
      <c r="C354" s="784"/>
      <c r="D354" s="660"/>
      <c r="E354" s="784">
        <v>255436</v>
      </c>
      <c r="F354" s="784">
        <f t="shared" si="172"/>
        <v>255436</v>
      </c>
      <c r="G354" s="784">
        <f>F354-E354</f>
        <v>0</v>
      </c>
      <c r="H354" s="1317" t="s">
        <v>663</v>
      </c>
      <c r="I354" s="1318">
        <v>255436</v>
      </c>
      <c r="J354" s="1323">
        <v>1</v>
      </c>
      <c r="K354" s="1413" t="s">
        <v>467</v>
      </c>
      <c r="L354" s="1111" t="s">
        <v>602</v>
      </c>
      <c r="M354" s="1414" t="s">
        <v>33</v>
      </c>
      <c r="N354" s="1255">
        <f t="shared" si="174"/>
        <v>255436</v>
      </c>
      <c r="P354" s="539">
        <f t="shared" si="173"/>
        <v>255436</v>
      </c>
      <c r="Q354" s="539">
        <f t="shared" si="167"/>
        <v>0</v>
      </c>
      <c r="R354" s="539">
        <f t="shared" si="168"/>
        <v>0</v>
      </c>
      <c r="S354" s="539">
        <f t="shared" si="169"/>
        <v>0</v>
      </c>
      <c r="T354" s="539">
        <f t="shared" si="170"/>
        <v>0</v>
      </c>
      <c r="U354" s="539">
        <f t="shared" si="171"/>
        <v>0</v>
      </c>
      <c r="V354" s="540">
        <f t="shared" si="135"/>
        <v>0</v>
      </c>
    </row>
    <row r="355" spans="1:22">
      <c r="A355" s="759"/>
      <c r="B355" s="759"/>
      <c r="C355" s="792"/>
      <c r="D355" s="793"/>
      <c r="E355" s="759"/>
      <c r="F355" s="759"/>
      <c r="G355" s="792"/>
      <c r="H355" s="1415"/>
      <c r="I355" s="1416"/>
      <c r="J355" s="1415"/>
      <c r="K355" s="1415"/>
      <c r="L355" s="1417"/>
      <c r="M355" s="1417"/>
      <c r="N355" s="1415"/>
      <c r="U355" s="539"/>
    </row>
    <row r="356" spans="1:22">
      <c r="A356" s="759"/>
      <c r="B356" s="759"/>
      <c r="C356" s="792"/>
      <c r="D356" s="793"/>
      <c r="E356" s="759"/>
      <c r="F356" s="759"/>
      <c r="G356" s="792"/>
      <c r="H356" s="1415"/>
      <c r="I356" s="1416"/>
      <c r="J356" s="1415"/>
      <c r="K356" s="1415"/>
      <c r="L356" s="1417"/>
      <c r="M356" s="1417"/>
      <c r="N356" s="1415"/>
      <c r="U356" s="539"/>
    </row>
    <row r="357" spans="1:22">
      <c r="A357" s="759"/>
      <c r="B357" s="759"/>
      <c r="C357" s="792"/>
      <c r="D357" s="793"/>
      <c r="E357" s="759"/>
      <c r="F357" s="759"/>
      <c r="G357" s="792"/>
      <c r="H357" s="1415"/>
      <c r="I357" s="1416"/>
      <c r="J357" s="1415"/>
      <c r="K357" s="1415"/>
      <c r="L357" s="1417"/>
      <c r="M357" s="1417"/>
      <c r="N357" s="1415"/>
      <c r="U357" s="539"/>
    </row>
    <row r="358" spans="1:22">
      <c r="A358" s="759"/>
      <c r="B358" s="759"/>
      <c r="C358" s="792"/>
      <c r="D358" s="793"/>
      <c r="E358" s="759" t="s">
        <v>449</v>
      </c>
      <c r="F358" s="759"/>
      <c r="G358" s="792"/>
      <c r="H358" s="1415"/>
      <c r="I358" s="1416"/>
      <c r="J358" s="1415"/>
      <c r="K358" s="1415"/>
      <c r="L358" s="1417"/>
      <c r="M358" s="1417"/>
      <c r="N358" s="1415"/>
      <c r="U358" s="539"/>
    </row>
    <row r="359" spans="1:22">
      <c r="A359" s="759"/>
      <c r="B359" s="759"/>
      <c r="C359" s="792"/>
      <c r="D359" s="793"/>
      <c r="E359" s="759"/>
      <c r="F359" s="759"/>
      <c r="G359" s="792"/>
      <c r="H359" s="1415"/>
      <c r="I359" s="1416"/>
      <c r="J359" s="1415"/>
      <c r="K359" s="1415"/>
      <c r="L359" s="1417"/>
      <c r="M359" s="1417"/>
      <c r="N359" s="1415"/>
      <c r="U359" s="539"/>
    </row>
    <row r="360" spans="1:22">
      <c r="A360" s="759"/>
      <c r="B360" s="759"/>
      <c r="C360" s="792"/>
      <c r="D360" s="793"/>
      <c r="E360" s="759"/>
      <c r="F360" s="759"/>
      <c r="G360" s="792"/>
      <c r="H360" s="1415"/>
      <c r="I360" s="1416"/>
      <c r="J360" s="1415"/>
      <c r="K360" s="1415"/>
      <c r="L360" s="1417"/>
      <c r="M360" s="1417"/>
      <c r="N360" s="1415"/>
    </row>
    <row r="361" spans="1:22">
      <c r="A361" s="759"/>
      <c r="B361" s="759"/>
      <c r="C361" s="792"/>
      <c r="D361" s="793"/>
      <c r="E361" s="793"/>
      <c r="F361" s="759"/>
      <c r="G361" s="792"/>
      <c r="H361" s="1415"/>
      <c r="I361" s="1416"/>
      <c r="J361" s="1415"/>
      <c r="K361" s="1415"/>
      <c r="L361" s="1417"/>
      <c r="M361" s="1417"/>
      <c r="N361" s="1415"/>
    </row>
  </sheetData>
  <mergeCells count="76">
    <mergeCell ref="L316:L317"/>
    <mergeCell ref="H241:H244"/>
    <mergeCell ref="L170:M170"/>
    <mergeCell ref="H200:H204"/>
    <mergeCell ref="H189:H191"/>
    <mergeCell ref="H205:H209"/>
    <mergeCell ref="H210:H214"/>
    <mergeCell ref="M98:M100"/>
    <mergeCell ref="M110:M111"/>
    <mergeCell ref="M112:M113"/>
    <mergeCell ref="M114:M115"/>
    <mergeCell ref="M118:M119"/>
    <mergeCell ref="M103:M104"/>
    <mergeCell ref="M89:M90"/>
    <mergeCell ref="H93:H94"/>
    <mergeCell ref="M93:M94"/>
    <mergeCell ref="M91:M92"/>
    <mergeCell ref="M95:M97"/>
    <mergeCell ref="H91:H92"/>
    <mergeCell ref="H95:H97"/>
    <mergeCell ref="H98:H100"/>
    <mergeCell ref="H110:H111"/>
    <mergeCell ref="H61:H62"/>
    <mergeCell ref="H103:H104"/>
    <mergeCell ref="H89:H90"/>
    <mergeCell ref="H83:H84"/>
    <mergeCell ref="H81:H82"/>
    <mergeCell ref="H77:H79"/>
    <mergeCell ref="M22:M23"/>
    <mergeCell ref="M24:M25"/>
    <mergeCell ref="M26:M27"/>
    <mergeCell ref="H70:H71"/>
    <mergeCell ref="H74:H75"/>
    <mergeCell ref="H72:H73"/>
    <mergeCell ref="M29:M31"/>
    <mergeCell ref="M33:M34"/>
    <mergeCell ref="M52:M53"/>
    <mergeCell ref="M35:M36"/>
    <mergeCell ref="H22:H23"/>
    <mergeCell ref="H24:H25"/>
    <mergeCell ref="H26:H27"/>
    <mergeCell ref="M11:M12"/>
    <mergeCell ref="M13:M14"/>
    <mergeCell ref="M15:M16"/>
    <mergeCell ref="M17:M18"/>
    <mergeCell ref="M19:M20"/>
    <mergeCell ref="H11:H12"/>
    <mergeCell ref="H13:H14"/>
    <mergeCell ref="H15:H16"/>
    <mergeCell ref="H67:H68"/>
    <mergeCell ref="H65:H66"/>
    <mergeCell ref="H63:H64"/>
    <mergeCell ref="H35:H36"/>
    <mergeCell ref="H33:H34"/>
    <mergeCell ref="H52:H53"/>
    <mergeCell ref="H29:H31"/>
    <mergeCell ref="H17:H18"/>
    <mergeCell ref="H19:H20"/>
    <mergeCell ref="A5:C5"/>
    <mergeCell ref="H8:M8"/>
    <mergeCell ref="A1:N1"/>
    <mergeCell ref="A2:N2"/>
    <mergeCell ref="A3:C3"/>
    <mergeCell ref="D3:D4"/>
    <mergeCell ref="E3:E4"/>
    <mergeCell ref="F3:F4"/>
    <mergeCell ref="G3:G4"/>
    <mergeCell ref="H3:M4"/>
    <mergeCell ref="N3:N4"/>
    <mergeCell ref="H123:H124"/>
    <mergeCell ref="H126:H127"/>
    <mergeCell ref="H128:H129"/>
    <mergeCell ref="M128:M129"/>
    <mergeCell ref="H112:H113"/>
    <mergeCell ref="H114:H115"/>
    <mergeCell ref="H118:H119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40" fitToHeight="0" orientation="landscape" r:id="rId1"/>
  <headerFooter alignWithMargins="0"/>
  <rowBreaks count="8" manualBreakCount="8">
    <brk id="47" max="13" man="1"/>
    <brk id="86" max="13" man="1"/>
    <brk id="129" max="13" man="1"/>
    <brk id="179" max="13" man="1"/>
    <brk id="227" max="13" man="1"/>
    <brk id="262" max="13" man="1"/>
    <brk id="303" max="13" man="1"/>
    <brk id="322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03AA-DC91-4AED-9525-5618858DAF9B}">
  <sheetPr>
    <pageSetUpPr fitToPage="1"/>
  </sheetPr>
  <dimension ref="A1:R104"/>
  <sheetViews>
    <sheetView view="pageBreakPreview" topLeftCell="A4" zoomScaleNormal="100" zoomScaleSheetLayoutView="100" workbookViewId="0">
      <selection activeCell="J23" sqref="J23"/>
    </sheetView>
  </sheetViews>
  <sheetFormatPr defaultRowHeight="13.5"/>
  <cols>
    <col min="1" max="1" width="13.33203125" customWidth="1"/>
    <col min="2" max="2" width="13.33203125" style="25" customWidth="1"/>
    <col min="3" max="14" width="13.33203125" customWidth="1"/>
    <col min="16" max="16" width="12.44140625" customWidth="1"/>
    <col min="17" max="17" width="13.77734375" bestFit="1" customWidth="1"/>
    <col min="258" max="270" width="13.33203125" customWidth="1"/>
    <col min="514" max="526" width="13.33203125" customWidth="1"/>
    <col min="770" max="782" width="13.33203125" customWidth="1"/>
    <col min="1026" max="1038" width="13.33203125" customWidth="1"/>
    <col min="1282" max="1294" width="13.33203125" customWidth="1"/>
    <col min="1538" max="1550" width="13.33203125" customWidth="1"/>
    <col min="1794" max="1806" width="13.33203125" customWidth="1"/>
    <col min="2050" max="2062" width="13.33203125" customWidth="1"/>
    <col min="2306" max="2318" width="13.33203125" customWidth="1"/>
    <col min="2562" max="2574" width="13.33203125" customWidth="1"/>
    <col min="2818" max="2830" width="13.33203125" customWidth="1"/>
    <col min="3074" max="3086" width="13.33203125" customWidth="1"/>
    <col min="3330" max="3342" width="13.33203125" customWidth="1"/>
    <col min="3586" max="3598" width="13.33203125" customWidth="1"/>
    <col min="3842" max="3854" width="13.33203125" customWidth="1"/>
    <col min="4098" max="4110" width="13.33203125" customWidth="1"/>
    <col min="4354" max="4366" width="13.33203125" customWidth="1"/>
    <col min="4610" max="4622" width="13.33203125" customWidth="1"/>
    <col min="4866" max="4878" width="13.33203125" customWidth="1"/>
    <col min="5122" max="5134" width="13.33203125" customWidth="1"/>
    <col min="5378" max="5390" width="13.33203125" customWidth="1"/>
    <col min="5634" max="5646" width="13.33203125" customWidth="1"/>
    <col min="5890" max="5902" width="13.33203125" customWidth="1"/>
    <col min="6146" max="6158" width="13.33203125" customWidth="1"/>
    <col min="6402" max="6414" width="13.33203125" customWidth="1"/>
    <col min="6658" max="6670" width="13.33203125" customWidth="1"/>
    <col min="6914" max="6926" width="13.33203125" customWidth="1"/>
    <col min="7170" max="7182" width="13.33203125" customWidth="1"/>
    <col min="7426" max="7438" width="13.33203125" customWidth="1"/>
    <col min="7682" max="7694" width="13.33203125" customWidth="1"/>
    <col min="7938" max="7950" width="13.33203125" customWidth="1"/>
    <col min="8194" max="8206" width="13.33203125" customWidth="1"/>
    <col min="8450" max="8462" width="13.33203125" customWidth="1"/>
    <col min="8706" max="8718" width="13.33203125" customWidth="1"/>
    <col min="8962" max="8974" width="13.33203125" customWidth="1"/>
    <col min="9218" max="9230" width="13.33203125" customWidth="1"/>
    <col min="9474" max="9486" width="13.33203125" customWidth="1"/>
    <col min="9730" max="9742" width="13.33203125" customWidth="1"/>
    <col min="9986" max="9998" width="13.33203125" customWidth="1"/>
    <col min="10242" max="10254" width="13.33203125" customWidth="1"/>
    <col min="10498" max="10510" width="13.33203125" customWidth="1"/>
    <col min="10754" max="10766" width="13.33203125" customWidth="1"/>
    <col min="11010" max="11022" width="13.33203125" customWidth="1"/>
    <col min="11266" max="11278" width="13.33203125" customWidth="1"/>
    <col min="11522" max="11534" width="13.33203125" customWidth="1"/>
    <col min="11778" max="11790" width="13.33203125" customWidth="1"/>
    <col min="12034" max="12046" width="13.33203125" customWidth="1"/>
    <col min="12290" max="12302" width="13.33203125" customWidth="1"/>
    <col min="12546" max="12558" width="13.33203125" customWidth="1"/>
    <col min="12802" max="12814" width="13.33203125" customWidth="1"/>
    <col min="13058" max="13070" width="13.33203125" customWidth="1"/>
    <col min="13314" max="13326" width="13.33203125" customWidth="1"/>
    <col min="13570" max="13582" width="13.33203125" customWidth="1"/>
    <col min="13826" max="13838" width="13.33203125" customWidth="1"/>
    <col min="14082" max="14094" width="13.33203125" customWidth="1"/>
    <col min="14338" max="14350" width="13.33203125" customWidth="1"/>
    <col min="14594" max="14606" width="13.33203125" customWidth="1"/>
    <col min="14850" max="14862" width="13.33203125" customWidth="1"/>
    <col min="15106" max="15118" width="13.33203125" customWidth="1"/>
    <col min="15362" max="15374" width="13.33203125" customWidth="1"/>
    <col min="15618" max="15630" width="13.33203125" customWidth="1"/>
    <col min="15874" max="15886" width="13.33203125" customWidth="1"/>
    <col min="16130" max="16142" width="13.33203125" customWidth="1"/>
  </cols>
  <sheetData>
    <row r="1" spans="1:17" ht="22.5">
      <c r="A1" s="1625" t="s">
        <v>0</v>
      </c>
      <c r="B1" s="1625"/>
      <c r="C1" s="1625"/>
      <c r="D1" s="1625"/>
      <c r="E1" s="1625"/>
      <c r="F1" s="1625"/>
      <c r="G1" s="1625"/>
      <c r="H1" s="1625"/>
      <c r="I1" s="1625"/>
      <c r="J1" s="1625"/>
      <c r="K1" s="1625"/>
      <c r="L1" s="1625"/>
      <c r="M1" s="1625"/>
    </row>
    <row r="2" spans="1:17" ht="2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.75">
      <c r="A3" s="1626" t="s">
        <v>675</v>
      </c>
      <c r="B3" s="1626"/>
      <c r="C3" s="1626"/>
      <c r="D3" s="1626"/>
      <c r="E3" s="1626"/>
      <c r="F3" s="1626"/>
      <c r="G3" s="1626"/>
      <c r="H3" s="1626"/>
      <c r="I3" s="1626"/>
      <c r="J3" s="1626"/>
      <c r="K3" s="1626"/>
      <c r="L3" s="1626"/>
      <c r="M3" s="1626"/>
    </row>
    <row r="4" spans="1:17" ht="18.75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7" ht="18.75">
      <c r="A5" s="1626" t="s">
        <v>674</v>
      </c>
      <c r="B5" s="1626"/>
      <c r="C5" s="1626"/>
      <c r="D5" s="1626"/>
      <c r="E5" s="1626"/>
      <c r="F5" s="1626"/>
      <c r="G5" s="1626"/>
      <c r="H5" s="1626"/>
      <c r="I5" s="1626"/>
      <c r="J5" s="1626"/>
      <c r="K5" s="1626"/>
      <c r="L5" s="1626"/>
      <c r="M5" s="1626"/>
    </row>
    <row r="6" spans="1:17" ht="18.75">
      <c r="A6" s="3"/>
      <c r="B6" s="4"/>
      <c r="C6" s="1627"/>
      <c r="D6" s="1627"/>
      <c r="E6" s="1627"/>
      <c r="F6" s="5"/>
      <c r="G6" s="5"/>
      <c r="H6" s="5"/>
      <c r="I6" s="5"/>
      <c r="J6" s="259"/>
      <c r="K6" s="3"/>
      <c r="L6" s="3"/>
    </row>
    <row r="7" spans="1:17">
      <c r="A7" s="1628"/>
      <c r="B7" s="1628"/>
      <c r="C7" s="1628"/>
      <c r="D7" s="1628"/>
      <c r="E7" s="1628"/>
      <c r="F7" s="1628"/>
      <c r="G7" s="1628"/>
      <c r="H7" s="1628"/>
      <c r="I7" s="1628"/>
      <c r="J7" s="1628"/>
      <c r="K7" s="6"/>
      <c r="L7" s="6"/>
    </row>
    <row r="8" spans="1:17" ht="14.25" thickBot="1">
      <c r="A8" s="1629" t="s">
        <v>1</v>
      </c>
      <c r="B8" s="1629"/>
      <c r="C8" s="1629"/>
      <c r="D8" s="1629"/>
      <c r="E8" s="1629"/>
      <c r="F8" s="7"/>
      <c r="G8" s="7"/>
      <c r="H8" s="7"/>
      <c r="I8" s="7"/>
      <c r="J8" s="8"/>
      <c r="K8" s="8"/>
      <c r="L8" s="8"/>
      <c r="M8" s="8"/>
      <c r="N8" s="8" t="s">
        <v>673</v>
      </c>
      <c r="P8" s="39"/>
    </row>
    <row r="9" spans="1:17" ht="23.25" customHeight="1">
      <c r="A9" s="9" t="s">
        <v>547</v>
      </c>
      <c r="B9" s="10" t="s">
        <v>548</v>
      </c>
      <c r="C9" s="10" t="s">
        <v>549</v>
      </c>
      <c r="D9" s="10" t="s">
        <v>2</v>
      </c>
      <c r="E9" s="10" t="s">
        <v>550</v>
      </c>
      <c r="F9" s="10" t="s">
        <v>551</v>
      </c>
      <c r="G9" s="10" t="s">
        <v>552</v>
      </c>
      <c r="H9" s="10" t="s">
        <v>553</v>
      </c>
      <c r="I9" s="10" t="s">
        <v>554</v>
      </c>
      <c r="J9" s="10" t="s">
        <v>555</v>
      </c>
      <c r="K9" s="11" t="s">
        <v>556</v>
      </c>
      <c r="L9" s="11" t="s">
        <v>616</v>
      </c>
      <c r="M9" s="12" t="s">
        <v>557</v>
      </c>
      <c r="N9" s="13" t="s">
        <v>558</v>
      </c>
    </row>
    <row r="10" spans="1:17" ht="23.25" customHeight="1">
      <c r="A10" s="14" t="s">
        <v>559</v>
      </c>
      <c r="B10" s="15"/>
      <c r="C10" s="15"/>
      <c r="D10" s="15"/>
      <c r="E10" s="16">
        <f t="shared" ref="E10:K10" si="0">SUM(E11:E26)</f>
        <v>714405020</v>
      </c>
      <c r="F10" s="16">
        <f t="shared" si="0"/>
        <v>562150970</v>
      </c>
      <c r="G10" s="16">
        <f t="shared" si="0"/>
        <v>21305810</v>
      </c>
      <c r="H10" s="16">
        <f t="shared" si="0"/>
        <v>6700000</v>
      </c>
      <c r="I10" s="16">
        <f t="shared" si="0"/>
        <v>55715840</v>
      </c>
      <c r="J10" s="16">
        <f t="shared" si="0"/>
        <v>56822400</v>
      </c>
      <c r="K10" s="16">
        <f t="shared" si="0"/>
        <v>2400000</v>
      </c>
      <c r="L10" s="16">
        <f>SUM(L11:L26)</f>
        <v>3660000</v>
      </c>
      <c r="M10" s="16"/>
      <c r="N10" s="16">
        <f>SUM(N11:N26)</f>
        <v>5650000</v>
      </c>
      <c r="P10" s="39"/>
    </row>
    <row r="11" spans="1:17" ht="23.25" customHeight="1">
      <c r="A11" s="17">
        <v>1</v>
      </c>
      <c r="B11" s="18" t="s">
        <v>560</v>
      </c>
      <c r="C11" s="18" t="s">
        <v>140</v>
      </c>
      <c r="D11" s="18">
        <v>29</v>
      </c>
      <c r="E11" s="19">
        <f>SUM(F11:L11)+N11</f>
        <v>76006800</v>
      </c>
      <c r="F11" s="19">
        <v>64598000</v>
      </c>
      <c r="G11" s="19">
        <v>1440000</v>
      </c>
      <c r="H11" s="19">
        <v>720000</v>
      </c>
      <c r="I11" s="19"/>
      <c r="J11" s="20">
        <v>6448800</v>
      </c>
      <c r="K11" s="20">
        <v>2400000</v>
      </c>
      <c r="L11" s="20"/>
      <c r="M11" s="21" t="s">
        <v>561</v>
      </c>
      <c r="N11" s="22">
        <v>400000</v>
      </c>
    </row>
    <row r="12" spans="1:17" ht="23.25" customHeight="1">
      <c r="A12" s="17">
        <v>2</v>
      </c>
      <c r="B12" s="18" t="s">
        <v>562</v>
      </c>
      <c r="C12" s="18" t="s">
        <v>563</v>
      </c>
      <c r="D12" s="18">
        <v>13</v>
      </c>
      <c r="E12" s="19">
        <f t="shared" ref="E12:E25" si="1">SUM(F12:L12)+N12</f>
        <v>53241010</v>
      </c>
      <c r="F12" s="19">
        <v>42447000</v>
      </c>
      <c r="G12" s="19">
        <v>1440000</v>
      </c>
      <c r="H12" s="19"/>
      <c r="I12" s="19">
        <v>4724610</v>
      </c>
      <c r="J12" s="20">
        <v>4229400</v>
      </c>
      <c r="K12" s="20">
        <v>0</v>
      </c>
      <c r="L12" s="20">
        <v>0</v>
      </c>
      <c r="M12" s="21" t="s">
        <v>564</v>
      </c>
      <c r="N12" s="22">
        <v>400000</v>
      </c>
      <c r="Q12" s="39"/>
    </row>
    <row r="13" spans="1:17" ht="23.25" customHeight="1">
      <c r="A13" s="17">
        <v>3</v>
      </c>
      <c r="B13" s="18" t="s">
        <v>565</v>
      </c>
      <c r="C13" s="18" t="s">
        <v>142</v>
      </c>
      <c r="D13" s="18">
        <v>23</v>
      </c>
      <c r="E13" s="19">
        <f t="shared" si="1"/>
        <v>62585200</v>
      </c>
      <c r="F13" s="19">
        <v>49824000</v>
      </c>
      <c r="G13" s="19">
        <v>1440000</v>
      </c>
      <c r="H13" s="19"/>
      <c r="I13" s="19">
        <v>5518800</v>
      </c>
      <c r="J13" s="20">
        <v>4982400</v>
      </c>
      <c r="K13" s="20">
        <v>0</v>
      </c>
      <c r="L13" s="20">
        <v>420000</v>
      </c>
      <c r="M13" s="21" t="s">
        <v>566</v>
      </c>
      <c r="N13" s="22">
        <v>400000</v>
      </c>
    </row>
    <row r="14" spans="1:17" ht="23.25" customHeight="1">
      <c r="A14" s="17">
        <v>4</v>
      </c>
      <c r="B14" s="18" t="s">
        <v>565</v>
      </c>
      <c r="C14" s="18" t="s">
        <v>143</v>
      </c>
      <c r="D14" s="18">
        <v>19</v>
      </c>
      <c r="E14" s="19">
        <f t="shared" si="1"/>
        <v>59935160</v>
      </c>
      <c r="F14" s="19">
        <v>46924000</v>
      </c>
      <c r="G14" s="19">
        <v>1440000</v>
      </c>
      <c r="H14" s="19">
        <v>840000</v>
      </c>
      <c r="I14" s="19">
        <v>5206560</v>
      </c>
      <c r="J14" s="20">
        <v>4704600</v>
      </c>
      <c r="K14" s="20">
        <v>0</v>
      </c>
      <c r="L14" s="20">
        <v>420000</v>
      </c>
      <c r="M14" s="21" t="s">
        <v>567</v>
      </c>
      <c r="N14" s="22">
        <v>400000</v>
      </c>
    </row>
    <row r="15" spans="1:17" ht="23.25" customHeight="1">
      <c r="A15" s="17">
        <v>5</v>
      </c>
      <c r="B15" s="18" t="s">
        <v>565</v>
      </c>
      <c r="C15" s="18" t="s">
        <v>144</v>
      </c>
      <c r="D15" s="18">
        <v>20</v>
      </c>
      <c r="E15" s="19">
        <f t="shared" si="1"/>
        <v>61474010</v>
      </c>
      <c r="F15" s="19">
        <v>48213000</v>
      </c>
      <c r="G15" s="19">
        <v>1440000</v>
      </c>
      <c r="H15" s="19">
        <v>840000</v>
      </c>
      <c r="I15" s="19">
        <v>5345410</v>
      </c>
      <c r="J15" s="20">
        <v>4815600</v>
      </c>
      <c r="K15" s="20">
        <v>0</v>
      </c>
      <c r="L15" s="20">
        <v>420000</v>
      </c>
      <c r="M15" s="21" t="s">
        <v>568</v>
      </c>
      <c r="N15" s="22">
        <v>400000</v>
      </c>
    </row>
    <row r="16" spans="1:17" ht="23.25" customHeight="1">
      <c r="A16" s="17">
        <v>6</v>
      </c>
      <c r="B16" s="23" t="s">
        <v>569</v>
      </c>
      <c r="C16" s="24" t="s">
        <v>145</v>
      </c>
      <c r="D16" s="18">
        <v>11</v>
      </c>
      <c r="E16" s="19">
        <f t="shared" si="1"/>
        <v>16423040</v>
      </c>
      <c r="F16" s="19">
        <v>11284000</v>
      </c>
      <c r="G16" s="19">
        <v>480000</v>
      </c>
      <c r="H16" s="19">
        <v>1160000</v>
      </c>
      <c r="I16" s="19">
        <v>1266440</v>
      </c>
      <c r="J16" s="20">
        <v>1692600</v>
      </c>
      <c r="K16" s="20">
        <v>0</v>
      </c>
      <c r="L16" s="20">
        <v>140000</v>
      </c>
      <c r="M16" s="21" t="s">
        <v>570</v>
      </c>
      <c r="N16" s="22">
        <v>400000</v>
      </c>
      <c r="P16" s="1015"/>
    </row>
    <row r="17" spans="1:16" ht="23.25" customHeight="1">
      <c r="A17" s="17">
        <v>7</v>
      </c>
      <c r="B17" s="23" t="s">
        <v>569</v>
      </c>
      <c r="C17" s="24" t="s">
        <v>146</v>
      </c>
      <c r="D17" s="18">
        <v>13</v>
      </c>
      <c r="E17" s="19">
        <f t="shared" si="1"/>
        <v>44827160</v>
      </c>
      <c r="F17" s="19">
        <v>35140000</v>
      </c>
      <c r="G17" s="19">
        <v>1440000</v>
      </c>
      <c r="H17" s="19">
        <v>0</v>
      </c>
      <c r="I17" s="19">
        <v>3937960</v>
      </c>
      <c r="J17" s="20">
        <v>3499200</v>
      </c>
      <c r="K17" s="20">
        <v>0</v>
      </c>
      <c r="L17" s="20">
        <v>410000</v>
      </c>
      <c r="M17" s="21" t="s">
        <v>571</v>
      </c>
      <c r="N17" s="22">
        <v>400000</v>
      </c>
    </row>
    <row r="18" spans="1:16" ht="23.25" customHeight="1">
      <c r="A18" s="17">
        <v>8</v>
      </c>
      <c r="B18" s="23" t="s">
        <v>569</v>
      </c>
      <c r="C18" s="24" t="s">
        <v>21</v>
      </c>
      <c r="D18" s="18">
        <v>13</v>
      </c>
      <c r="E18" s="19">
        <f t="shared" si="1"/>
        <v>45375580</v>
      </c>
      <c r="F18" s="19">
        <v>35586000</v>
      </c>
      <c r="G18" s="19">
        <v>1440000</v>
      </c>
      <c r="H18" s="19">
        <v>0</v>
      </c>
      <c r="I18" s="19">
        <v>3985980</v>
      </c>
      <c r="J18" s="20">
        <v>3543600</v>
      </c>
      <c r="K18" s="20">
        <v>0</v>
      </c>
      <c r="L18" s="20">
        <v>420000</v>
      </c>
      <c r="M18" s="21" t="s">
        <v>671</v>
      </c>
      <c r="N18" s="22">
        <v>400000</v>
      </c>
    </row>
    <row r="19" spans="1:16" ht="23.25" customHeight="1">
      <c r="A19" s="17">
        <v>9</v>
      </c>
      <c r="B19" s="23" t="s">
        <v>569</v>
      </c>
      <c r="C19" s="24" t="s">
        <v>148</v>
      </c>
      <c r="D19" s="18">
        <v>7</v>
      </c>
      <c r="E19" s="19">
        <f t="shared" si="1"/>
        <v>39515220</v>
      </c>
      <c r="F19" s="19">
        <v>30007000</v>
      </c>
      <c r="G19" s="19">
        <v>1440000</v>
      </c>
      <c r="H19" s="19">
        <v>980000</v>
      </c>
      <c r="I19" s="19">
        <v>3385420</v>
      </c>
      <c r="J19" s="20">
        <v>2992800</v>
      </c>
      <c r="K19" s="20">
        <v>0</v>
      </c>
      <c r="L19" s="20">
        <v>410000</v>
      </c>
      <c r="M19" s="21" t="s">
        <v>568</v>
      </c>
      <c r="N19" s="22">
        <v>300000</v>
      </c>
      <c r="P19" s="39"/>
    </row>
    <row r="20" spans="1:16" ht="23.25" customHeight="1">
      <c r="A20" s="17">
        <v>10</v>
      </c>
      <c r="B20" s="23" t="s">
        <v>572</v>
      </c>
      <c r="C20" s="24" t="s">
        <v>670</v>
      </c>
      <c r="D20" s="18">
        <v>3</v>
      </c>
      <c r="E20" s="19">
        <f t="shared" si="1"/>
        <v>35555590</v>
      </c>
      <c r="F20" s="19">
        <v>27280970</v>
      </c>
      <c r="G20" s="19">
        <v>1385810</v>
      </c>
      <c r="H20" s="19">
        <v>240000</v>
      </c>
      <c r="I20" s="19">
        <v>3099810</v>
      </c>
      <c r="J20" s="20">
        <v>2829000</v>
      </c>
      <c r="K20" s="20">
        <v>0</v>
      </c>
      <c r="L20" s="20">
        <v>420000</v>
      </c>
      <c r="M20" s="21" t="s">
        <v>672</v>
      </c>
      <c r="N20" s="22">
        <v>300000</v>
      </c>
    </row>
    <row r="21" spans="1:16" ht="23.25" customHeight="1">
      <c r="A21" s="17">
        <v>11</v>
      </c>
      <c r="B21" s="23" t="s">
        <v>573</v>
      </c>
      <c r="C21" s="24" t="s">
        <v>150</v>
      </c>
      <c r="D21" s="18">
        <v>15</v>
      </c>
      <c r="E21" s="19">
        <f t="shared" si="1"/>
        <v>46840960</v>
      </c>
      <c r="F21" s="19">
        <v>36936000</v>
      </c>
      <c r="G21" s="19">
        <v>1440000</v>
      </c>
      <c r="H21" s="19">
        <v>240000</v>
      </c>
      <c r="I21" s="19">
        <v>4131360</v>
      </c>
      <c r="J21" s="20">
        <v>3693600</v>
      </c>
      <c r="K21" s="20"/>
      <c r="L21" s="20"/>
      <c r="M21" s="21" t="s">
        <v>570</v>
      </c>
      <c r="N21" s="22">
        <v>400000</v>
      </c>
    </row>
    <row r="22" spans="1:16" ht="23.25" customHeight="1">
      <c r="A22" s="17">
        <v>12</v>
      </c>
      <c r="B22" s="23" t="s">
        <v>574</v>
      </c>
      <c r="C22" s="24" t="s">
        <v>151</v>
      </c>
      <c r="D22" s="18">
        <v>13</v>
      </c>
      <c r="E22" s="19">
        <f t="shared" si="1"/>
        <v>43894330</v>
      </c>
      <c r="F22" s="19">
        <v>34103000</v>
      </c>
      <c r="G22" s="19">
        <v>1440000</v>
      </c>
      <c r="H22" s="19">
        <v>720000</v>
      </c>
      <c r="I22" s="19">
        <v>3826330</v>
      </c>
      <c r="J22" s="20">
        <v>3405000</v>
      </c>
      <c r="K22" s="20">
        <v>0</v>
      </c>
      <c r="L22" s="20"/>
      <c r="M22" s="21" t="s">
        <v>575</v>
      </c>
      <c r="N22" s="880">
        <v>400000</v>
      </c>
    </row>
    <row r="23" spans="1:16" ht="23.25" customHeight="1">
      <c r="A23" s="17">
        <v>13</v>
      </c>
      <c r="B23" s="24" t="s">
        <v>576</v>
      </c>
      <c r="C23" s="24" t="s">
        <v>577</v>
      </c>
      <c r="D23" s="18">
        <v>4</v>
      </c>
      <c r="E23" s="19">
        <f t="shared" si="1"/>
        <v>36018600</v>
      </c>
      <c r="F23" s="19">
        <v>28252000</v>
      </c>
      <c r="G23" s="19">
        <v>1440000</v>
      </c>
      <c r="H23" s="19">
        <v>0</v>
      </c>
      <c r="I23" s="19">
        <v>3196400</v>
      </c>
      <c r="J23" s="20">
        <v>2830200</v>
      </c>
      <c r="K23" s="965">
        <v>0</v>
      </c>
      <c r="L23" s="20"/>
      <c r="M23" s="21" t="s">
        <v>689</v>
      </c>
      <c r="N23" s="880">
        <v>300000</v>
      </c>
    </row>
    <row r="24" spans="1:16" ht="23.25" customHeight="1">
      <c r="A24" s="17">
        <v>14</v>
      </c>
      <c r="B24" s="24" t="s">
        <v>576</v>
      </c>
      <c r="C24" s="24" t="s">
        <v>578</v>
      </c>
      <c r="D24" s="18">
        <v>3</v>
      </c>
      <c r="E24" s="19">
        <f t="shared" si="1"/>
        <v>35892840</v>
      </c>
      <c r="F24" s="19">
        <v>28152000</v>
      </c>
      <c r="G24" s="19">
        <v>1440000</v>
      </c>
      <c r="H24" s="19">
        <v>0</v>
      </c>
      <c r="I24" s="19">
        <v>3185640</v>
      </c>
      <c r="J24" s="966">
        <v>2815200</v>
      </c>
      <c r="K24" s="965">
        <v>0</v>
      </c>
      <c r="L24" s="20"/>
      <c r="M24" s="21" t="s">
        <v>570</v>
      </c>
      <c r="N24" s="22">
        <v>300000</v>
      </c>
    </row>
    <row r="25" spans="1:16" ht="23.25" customHeight="1">
      <c r="A25" s="17">
        <v>15</v>
      </c>
      <c r="B25" s="24" t="s">
        <v>579</v>
      </c>
      <c r="C25" s="24" t="s">
        <v>580</v>
      </c>
      <c r="D25" s="18">
        <v>5</v>
      </c>
      <c r="E25" s="19">
        <f t="shared" si="1"/>
        <v>38105280</v>
      </c>
      <c r="F25" s="19">
        <v>29040000</v>
      </c>
      <c r="G25" s="19">
        <v>1440000</v>
      </c>
      <c r="H25" s="19">
        <v>720000</v>
      </c>
      <c r="I25" s="19">
        <v>3281280</v>
      </c>
      <c r="J25" s="20">
        <v>2904000</v>
      </c>
      <c r="K25" s="20">
        <v>0</v>
      </c>
      <c r="L25" s="20">
        <v>420000</v>
      </c>
      <c r="M25" s="21" t="s">
        <v>570</v>
      </c>
      <c r="N25" s="22">
        <v>300000</v>
      </c>
    </row>
    <row r="26" spans="1:16" ht="23.25" customHeight="1">
      <c r="A26" s="17">
        <v>16</v>
      </c>
      <c r="B26" s="23" t="s">
        <v>569</v>
      </c>
      <c r="C26" s="24" t="s">
        <v>692</v>
      </c>
      <c r="D26" s="18">
        <v>3</v>
      </c>
      <c r="E26" s="19">
        <f t="shared" ref="E26" si="2">SUM(F26:L26)+N26</f>
        <v>18714240</v>
      </c>
      <c r="F26" s="19">
        <v>14364000</v>
      </c>
      <c r="G26" s="19">
        <v>720000</v>
      </c>
      <c r="H26" s="19">
        <v>240000</v>
      </c>
      <c r="I26" s="19">
        <v>1623840</v>
      </c>
      <c r="J26" s="20">
        <v>1436400</v>
      </c>
      <c r="K26" s="20">
        <v>0</v>
      </c>
      <c r="L26" s="20">
        <v>180000</v>
      </c>
      <c r="M26" s="21" t="s">
        <v>693</v>
      </c>
      <c r="N26" s="22">
        <v>150000</v>
      </c>
    </row>
    <row r="27" spans="1:16" ht="23.25" customHeight="1">
      <c r="A27" s="1614" t="s">
        <v>25</v>
      </c>
      <c r="B27" s="1615"/>
      <c r="C27" s="1618" t="s">
        <v>694</v>
      </c>
      <c r="D27" s="1619"/>
      <c r="E27" s="1619"/>
      <c r="F27" s="1619"/>
      <c r="G27" s="1619"/>
      <c r="H27" s="1619"/>
      <c r="I27" s="1619"/>
      <c r="J27" s="1619"/>
      <c r="K27" s="1619"/>
      <c r="L27" s="1619"/>
      <c r="M27" s="1619"/>
      <c r="N27" s="1620"/>
    </row>
    <row r="28" spans="1:16" ht="23.25" customHeight="1" thickBot="1">
      <c r="A28" s="1616"/>
      <c r="B28" s="1617"/>
      <c r="C28" s="1621"/>
      <c r="D28" s="1622"/>
      <c r="E28" s="1622"/>
      <c r="F28" s="1622"/>
      <c r="G28" s="1622"/>
      <c r="H28" s="1622"/>
      <c r="I28" s="1622"/>
      <c r="J28" s="1622"/>
      <c r="K28" s="1622"/>
      <c r="L28" s="1622"/>
      <c r="M28" s="1622"/>
      <c r="N28" s="1623"/>
    </row>
    <row r="29" spans="1:16" ht="23.25" customHeight="1"/>
    <row r="30" spans="1:16" ht="23.25" customHeight="1"/>
    <row r="103" spans="5:18" ht="14.25" thickBot="1"/>
    <row r="104" spans="5:18" ht="21" customHeight="1" thickBot="1">
      <c r="E104" s="1624" t="s">
        <v>26</v>
      </c>
      <c r="F104" s="1624"/>
      <c r="G104" s="1624"/>
      <c r="H104" s="1624"/>
      <c r="I104" s="1624"/>
      <c r="J104" s="1624"/>
      <c r="K104" s="26"/>
      <c r="L104" s="26"/>
      <c r="M104" s="27"/>
      <c r="N104" s="27"/>
      <c r="O104" s="27"/>
      <c r="P104" s="27"/>
      <c r="Q104" s="27"/>
      <c r="R104" s="27"/>
    </row>
  </sheetData>
  <mergeCells count="9">
    <mergeCell ref="A27:B28"/>
    <mergeCell ref="C27:N28"/>
    <mergeCell ref="E104:J104"/>
    <mergeCell ref="A1:M1"/>
    <mergeCell ref="A3:M3"/>
    <mergeCell ref="A5:M5"/>
    <mergeCell ref="C6:E6"/>
    <mergeCell ref="A7:J7"/>
    <mergeCell ref="A8:E8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C010-F702-4288-9D31-D42C8CE694AB}">
  <sheetPr>
    <tabColor theme="0" tint="-4.9989318521683403E-2"/>
    <pageSetUpPr fitToPage="1"/>
  </sheetPr>
  <dimension ref="A1:P149"/>
  <sheetViews>
    <sheetView view="pageBreakPreview" topLeftCell="A97" zoomScaleNormal="100" zoomScaleSheetLayoutView="100" workbookViewId="0">
      <selection activeCell="F136" sqref="F136"/>
    </sheetView>
  </sheetViews>
  <sheetFormatPr defaultRowHeight="13.5"/>
  <cols>
    <col min="1" max="1" width="8.6640625" style="53" customWidth="1"/>
    <col min="2" max="2" width="7.88671875" style="53" customWidth="1"/>
    <col min="3" max="3" width="13.77734375" style="53" bestFit="1" customWidth="1"/>
    <col min="4" max="4" width="10" style="53" customWidth="1"/>
    <col min="5" max="5" width="10.6640625" style="53" customWidth="1"/>
    <col min="6" max="6" width="21.77734375" style="53" customWidth="1"/>
    <col min="7" max="7" width="12.88671875" style="53" customWidth="1"/>
    <col min="8" max="8" width="11.88671875" style="53" customWidth="1"/>
    <col min="9" max="10" width="12.6640625" style="53" bestFit="1" customWidth="1"/>
    <col min="11" max="11" width="13.88671875" style="53" bestFit="1" customWidth="1"/>
    <col min="12" max="12" width="12.6640625" style="53" customWidth="1"/>
    <col min="13" max="13" width="12.6640625" style="53" bestFit="1" customWidth="1"/>
    <col min="14" max="14" width="14.109375" style="53" bestFit="1" customWidth="1"/>
    <col min="15" max="15" width="8.88671875" style="53"/>
    <col min="16" max="16" width="15.88671875" style="53" customWidth="1"/>
    <col min="17" max="256" width="8.88671875" style="53"/>
    <col min="257" max="257" width="8.6640625" style="53" customWidth="1"/>
    <col min="258" max="258" width="7.88671875" style="53" customWidth="1"/>
    <col min="259" max="259" width="13.77734375" style="53" bestFit="1" customWidth="1"/>
    <col min="260" max="260" width="10" style="53" customWidth="1"/>
    <col min="261" max="261" width="10.6640625" style="53" customWidth="1"/>
    <col min="262" max="262" width="17.88671875" style="53" customWidth="1"/>
    <col min="263" max="263" width="12.88671875" style="53" customWidth="1"/>
    <col min="264" max="264" width="11.88671875" style="53" customWidth="1"/>
    <col min="265" max="266" width="12.6640625" style="53" bestFit="1" customWidth="1"/>
    <col min="267" max="267" width="13.88671875" style="53" bestFit="1" customWidth="1"/>
    <col min="268" max="268" width="12.6640625" style="53" customWidth="1"/>
    <col min="269" max="269" width="12.6640625" style="53" bestFit="1" customWidth="1"/>
    <col min="270" max="270" width="14.109375" style="53" bestFit="1" customWidth="1"/>
    <col min="271" max="271" width="8.88671875" style="53"/>
    <col min="272" max="272" width="15.88671875" style="53" customWidth="1"/>
    <col min="273" max="512" width="8.88671875" style="53"/>
    <col min="513" max="513" width="8.6640625" style="53" customWidth="1"/>
    <col min="514" max="514" width="7.88671875" style="53" customWidth="1"/>
    <col min="515" max="515" width="13.77734375" style="53" bestFit="1" customWidth="1"/>
    <col min="516" max="516" width="10" style="53" customWidth="1"/>
    <col min="517" max="517" width="10.6640625" style="53" customWidth="1"/>
    <col min="518" max="518" width="17.88671875" style="53" customWidth="1"/>
    <col min="519" max="519" width="12.88671875" style="53" customWidth="1"/>
    <col min="520" max="520" width="11.88671875" style="53" customWidth="1"/>
    <col min="521" max="522" width="12.6640625" style="53" bestFit="1" customWidth="1"/>
    <col min="523" max="523" width="13.88671875" style="53" bestFit="1" customWidth="1"/>
    <col min="524" max="524" width="12.6640625" style="53" customWidth="1"/>
    <col min="525" max="525" width="12.6640625" style="53" bestFit="1" customWidth="1"/>
    <col min="526" max="526" width="14.109375" style="53" bestFit="1" customWidth="1"/>
    <col min="527" max="527" width="8.88671875" style="53"/>
    <col min="528" max="528" width="15.88671875" style="53" customWidth="1"/>
    <col min="529" max="768" width="8.88671875" style="53"/>
    <col min="769" max="769" width="8.6640625" style="53" customWidth="1"/>
    <col min="770" max="770" width="7.88671875" style="53" customWidth="1"/>
    <col min="771" max="771" width="13.77734375" style="53" bestFit="1" customWidth="1"/>
    <col min="772" max="772" width="10" style="53" customWidth="1"/>
    <col min="773" max="773" width="10.6640625" style="53" customWidth="1"/>
    <col min="774" max="774" width="17.88671875" style="53" customWidth="1"/>
    <col min="775" max="775" width="12.88671875" style="53" customWidth="1"/>
    <col min="776" max="776" width="11.88671875" style="53" customWidth="1"/>
    <col min="777" max="778" width="12.6640625" style="53" bestFit="1" customWidth="1"/>
    <col min="779" max="779" width="13.88671875" style="53" bestFit="1" customWidth="1"/>
    <col min="780" max="780" width="12.6640625" style="53" customWidth="1"/>
    <col min="781" max="781" width="12.6640625" style="53" bestFit="1" customWidth="1"/>
    <col min="782" max="782" width="14.109375" style="53" bestFit="1" customWidth="1"/>
    <col min="783" max="783" width="8.88671875" style="53"/>
    <col min="784" max="784" width="15.88671875" style="53" customWidth="1"/>
    <col min="785" max="1024" width="8.88671875" style="53"/>
    <col min="1025" max="1025" width="8.6640625" style="53" customWidth="1"/>
    <col min="1026" max="1026" width="7.88671875" style="53" customWidth="1"/>
    <col min="1027" max="1027" width="13.77734375" style="53" bestFit="1" customWidth="1"/>
    <col min="1028" max="1028" width="10" style="53" customWidth="1"/>
    <col min="1029" max="1029" width="10.6640625" style="53" customWidth="1"/>
    <col min="1030" max="1030" width="17.88671875" style="53" customWidth="1"/>
    <col min="1031" max="1031" width="12.88671875" style="53" customWidth="1"/>
    <col min="1032" max="1032" width="11.88671875" style="53" customWidth="1"/>
    <col min="1033" max="1034" width="12.6640625" style="53" bestFit="1" customWidth="1"/>
    <col min="1035" max="1035" width="13.88671875" style="53" bestFit="1" customWidth="1"/>
    <col min="1036" max="1036" width="12.6640625" style="53" customWidth="1"/>
    <col min="1037" max="1037" width="12.6640625" style="53" bestFit="1" customWidth="1"/>
    <col min="1038" max="1038" width="14.109375" style="53" bestFit="1" customWidth="1"/>
    <col min="1039" max="1039" width="8.88671875" style="53"/>
    <col min="1040" max="1040" width="15.88671875" style="53" customWidth="1"/>
    <col min="1041" max="1280" width="8.88671875" style="53"/>
    <col min="1281" max="1281" width="8.6640625" style="53" customWidth="1"/>
    <col min="1282" max="1282" width="7.88671875" style="53" customWidth="1"/>
    <col min="1283" max="1283" width="13.77734375" style="53" bestFit="1" customWidth="1"/>
    <col min="1284" max="1284" width="10" style="53" customWidth="1"/>
    <col min="1285" max="1285" width="10.6640625" style="53" customWidth="1"/>
    <col min="1286" max="1286" width="17.88671875" style="53" customWidth="1"/>
    <col min="1287" max="1287" width="12.88671875" style="53" customWidth="1"/>
    <col min="1288" max="1288" width="11.88671875" style="53" customWidth="1"/>
    <col min="1289" max="1290" width="12.6640625" style="53" bestFit="1" customWidth="1"/>
    <col min="1291" max="1291" width="13.88671875" style="53" bestFit="1" customWidth="1"/>
    <col min="1292" max="1292" width="12.6640625" style="53" customWidth="1"/>
    <col min="1293" max="1293" width="12.6640625" style="53" bestFit="1" customWidth="1"/>
    <col min="1294" max="1294" width="14.109375" style="53" bestFit="1" customWidth="1"/>
    <col min="1295" max="1295" width="8.88671875" style="53"/>
    <col min="1296" max="1296" width="15.88671875" style="53" customWidth="1"/>
    <col min="1297" max="1536" width="8.88671875" style="53"/>
    <col min="1537" max="1537" width="8.6640625" style="53" customWidth="1"/>
    <col min="1538" max="1538" width="7.88671875" style="53" customWidth="1"/>
    <col min="1539" max="1539" width="13.77734375" style="53" bestFit="1" customWidth="1"/>
    <col min="1540" max="1540" width="10" style="53" customWidth="1"/>
    <col min="1541" max="1541" width="10.6640625" style="53" customWidth="1"/>
    <col min="1542" max="1542" width="17.88671875" style="53" customWidth="1"/>
    <col min="1543" max="1543" width="12.88671875" style="53" customWidth="1"/>
    <col min="1544" max="1544" width="11.88671875" style="53" customWidth="1"/>
    <col min="1545" max="1546" width="12.6640625" style="53" bestFit="1" customWidth="1"/>
    <col min="1547" max="1547" width="13.88671875" style="53" bestFit="1" customWidth="1"/>
    <col min="1548" max="1548" width="12.6640625" style="53" customWidth="1"/>
    <col min="1549" max="1549" width="12.6640625" style="53" bestFit="1" customWidth="1"/>
    <col min="1550" max="1550" width="14.109375" style="53" bestFit="1" customWidth="1"/>
    <col min="1551" max="1551" width="8.88671875" style="53"/>
    <col min="1552" max="1552" width="15.88671875" style="53" customWidth="1"/>
    <col min="1553" max="1792" width="8.88671875" style="53"/>
    <col min="1793" max="1793" width="8.6640625" style="53" customWidth="1"/>
    <col min="1794" max="1794" width="7.88671875" style="53" customWidth="1"/>
    <col min="1795" max="1795" width="13.77734375" style="53" bestFit="1" customWidth="1"/>
    <col min="1796" max="1796" width="10" style="53" customWidth="1"/>
    <col min="1797" max="1797" width="10.6640625" style="53" customWidth="1"/>
    <col min="1798" max="1798" width="17.88671875" style="53" customWidth="1"/>
    <col min="1799" max="1799" width="12.88671875" style="53" customWidth="1"/>
    <col min="1800" max="1800" width="11.88671875" style="53" customWidth="1"/>
    <col min="1801" max="1802" width="12.6640625" style="53" bestFit="1" customWidth="1"/>
    <col min="1803" max="1803" width="13.88671875" style="53" bestFit="1" customWidth="1"/>
    <col min="1804" max="1804" width="12.6640625" style="53" customWidth="1"/>
    <col min="1805" max="1805" width="12.6640625" style="53" bestFit="1" customWidth="1"/>
    <col min="1806" max="1806" width="14.109375" style="53" bestFit="1" customWidth="1"/>
    <col min="1807" max="1807" width="8.88671875" style="53"/>
    <col min="1808" max="1808" width="15.88671875" style="53" customWidth="1"/>
    <col min="1809" max="2048" width="8.88671875" style="53"/>
    <col min="2049" max="2049" width="8.6640625" style="53" customWidth="1"/>
    <col min="2050" max="2050" width="7.88671875" style="53" customWidth="1"/>
    <col min="2051" max="2051" width="13.77734375" style="53" bestFit="1" customWidth="1"/>
    <col min="2052" max="2052" width="10" style="53" customWidth="1"/>
    <col min="2053" max="2053" width="10.6640625" style="53" customWidth="1"/>
    <col min="2054" max="2054" width="17.88671875" style="53" customWidth="1"/>
    <col min="2055" max="2055" width="12.88671875" style="53" customWidth="1"/>
    <col min="2056" max="2056" width="11.88671875" style="53" customWidth="1"/>
    <col min="2057" max="2058" width="12.6640625" style="53" bestFit="1" customWidth="1"/>
    <col min="2059" max="2059" width="13.88671875" style="53" bestFit="1" customWidth="1"/>
    <col min="2060" max="2060" width="12.6640625" style="53" customWidth="1"/>
    <col min="2061" max="2061" width="12.6640625" style="53" bestFit="1" customWidth="1"/>
    <col min="2062" max="2062" width="14.109375" style="53" bestFit="1" customWidth="1"/>
    <col min="2063" max="2063" width="8.88671875" style="53"/>
    <col min="2064" max="2064" width="15.88671875" style="53" customWidth="1"/>
    <col min="2065" max="2304" width="8.88671875" style="53"/>
    <col min="2305" max="2305" width="8.6640625" style="53" customWidth="1"/>
    <col min="2306" max="2306" width="7.88671875" style="53" customWidth="1"/>
    <col min="2307" max="2307" width="13.77734375" style="53" bestFit="1" customWidth="1"/>
    <col min="2308" max="2308" width="10" style="53" customWidth="1"/>
    <col min="2309" max="2309" width="10.6640625" style="53" customWidth="1"/>
    <col min="2310" max="2310" width="17.88671875" style="53" customWidth="1"/>
    <col min="2311" max="2311" width="12.88671875" style="53" customWidth="1"/>
    <col min="2312" max="2312" width="11.88671875" style="53" customWidth="1"/>
    <col min="2313" max="2314" width="12.6640625" style="53" bestFit="1" customWidth="1"/>
    <col min="2315" max="2315" width="13.88671875" style="53" bestFit="1" customWidth="1"/>
    <col min="2316" max="2316" width="12.6640625" style="53" customWidth="1"/>
    <col min="2317" max="2317" width="12.6640625" style="53" bestFit="1" customWidth="1"/>
    <col min="2318" max="2318" width="14.109375" style="53" bestFit="1" customWidth="1"/>
    <col min="2319" max="2319" width="8.88671875" style="53"/>
    <col min="2320" max="2320" width="15.88671875" style="53" customWidth="1"/>
    <col min="2321" max="2560" width="8.88671875" style="53"/>
    <col min="2561" max="2561" width="8.6640625" style="53" customWidth="1"/>
    <col min="2562" max="2562" width="7.88671875" style="53" customWidth="1"/>
    <col min="2563" max="2563" width="13.77734375" style="53" bestFit="1" customWidth="1"/>
    <col min="2564" max="2564" width="10" style="53" customWidth="1"/>
    <col min="2565" max="2565" width="10.6640625" style="53" customWidth="1"/>
    <col min="2566" max="2566" width="17.88671875" style="53" customWidth="1"/>
    <col min="2567" max="2567" width="12.88671875" style="53" customWidth="1"/>
    <col min="2568" max="2568" width="11.88671875" style="53" customWidth="1"/>
    <col min="2569" max="2570" width="12.6640625" style="53" bestFit="1" customWidth="1"/>
    <col min="2571" max="2571" width="13.88671875" style="53" bestFit="1" customWidth="1"/>
    <col min="2572" max="2572" width="12.6640625" style="53" customWidth="1"/>
    <col min="2573" max="2573" width="12.6640625" style="53" bestFit="1" customWidth="1"/>
    <col min="2574" max="2574" width="14.109375" style="53" bestFit="1" customWidth="1"/>
    <col min="2575" max="2575" width="8.88671875" style="53"/>
    <col min="2576" max="2576" width="15.88671875" style="53" customWidth="1"/>
    <col min="2577" max="2816" width="8.88671875" style="53"/>
    <col min="2817" max="2817" width="8.6640625" style="53" customWidth="1"/>
    <col min="2818" max="2818" width="7.88671875" style="53" customWidth="1"/>
    <col min="2819" max="2819" width="13.77734375" style="53" bestFit="1" customWidth="1"/>
    <col min="2820" max="2820" width="10" style="53" customWidth="1"/>
    <col min="2821" max="2821" width="10.6640625" style="53" customWidth="1"/>
    <col min="2822" max="2822" width="17.88671875" style="53" customWidth="1"/>
    <col min="2823" max="2823" width="12.88671875" style="53" customWidth="1"/>
    <col min="2824" max="2824" width="11.88671875" style="53" customWidth="1"/>
    <col min="2825" max="2826" width="12.6640625" style="53" bestFit="1" customWidth="1"/>
    <col min="2827" max="2827" width="13.88671875" style="53" bestFit="1" customWidth="1"/>
    <col min="2828" max="2828" width="12.6640625" style="53" customWidth="1"/>
    <col min="2829" max="2829" width="12.6640625" style="53" bestFit="1" customWidth="1"/>
    <col min="2830" max="2830" width="14.109375" style="53" bestFit="1" customWidth="1"/>
    <col min="2831" max="2831" width="8.88671875" style="53"/>
    <col min="2832" max="2832" width="15.88671875" style="53" customWidth="1"/>
    <col min="2833" max="3072" width="8.88671875" style="53"/>
    <col min="3073" max="3073" width="8.6640625" style="53" customWidth="1"/>
    <col min="3074" max="3074" width="7.88671875" style="53" customWidth="1"/>
    <col min="3075" max="3075" width="13.77734375" style="53" bestFit="1" customWidth="1"/>
    <col min="3076" max="3076" width="10" style="53" customWidth="1"/>
    <col min="3077" max="3077" width="10.6640625" style="53" customWidth="1"/>
    <col min="3078" max="3078" width="17.88671875" style="53" customWidth="1"/>
    <col min="3079" max="3079" width="12.88671875" style="53" customWidth="1"/>
    <col min="3080" max="3080" width="11.88671875" style="53" customWidth="1"/>
    <col min="3081" max="3082" width="12.6640625" style="53" bestFit="1" customWidth="1"/>
    <col min="3083" max="3083" width="13.88671875" style="53" bestFit="1" customWidth="1"/>
    <col min="3084" max="3084" width="12.6640625" style="53" customWidth="1"/>
    <col min="3085" max="3085" width="12.6640625" style="53" bestFit="1" customWidth="1"/>
    <col min="3086" max="3086" width="14.109375" style="53" bestFit="1" customWidth="1"/>
    <col min="3087" max="3087" width="8.88671875" style="53"/>
    <col min="3088" max="3088" width="15.88671875" style="53" customWidth="1"/>
    <col min="3089" max="3328" width="8.88671875" style="53"/>
    <col min="3329" max="3329" width="8.6640625" style="53" customWidth="1"/>
    <col min="3330" max="3330" width="7.88671875" style="53" customWidth="1"/>
    <col min="3331" max="3331" width="13.77734375" style="53" bestFit="1" customWidth="1"/>
    <col min="3332" max="3332" width="10" style="53" customWidth="1"/>
    <col min="3333" max="3333" width="10.6640625" style="53" customWidth="1"/>
    <col min="3334" max="3334" width="17.88671875" style="53" customWidth="1"/>
    <col min="3335" max="3335" width="12.88671875" style="53" customWidth="1"/>
    <col min="3336" max="3336" width="11.88671875" style="53" customWidth="1"/>
    <col min="3337" max="3338" width="12.6640625" style="53" bestFit="1" customWidth="1"/>
    <col min="3339" max="3339" width="13.88671875" style="53" bestFit="1" customWidth="1"/>
    <col min="3340" max="3340" width="12.6640625" style="53" customWidth="1"/>
    <col min="3341" max="3341" width="12.6640625" style="53" bestFit="1" customWidth="1"/>
    <col min="3342" max="3342" width="14.109375" style="53" bestFit="1" customWidth="1"/>
    <col min="3343" max="3343" width="8.88671875" style="53"/>
    <col min="3344" max="3344" width="15.88671875" style="53" customWidth="1"/>
    <col min="3345" max="3584" width="8.88671875" style="53"/>
    <col min="3585" max="3585" width="8.6640625" style="53" customWidth="1"/>
    <col min="3586" max="3586" width="7.88671875" style="53" customWidth="1"/>
    <col min="3587" max="3587" width="13.77734375" style="53" bestFit="1" customWidth="1"/>
    <col min="3588" max="3588" width="10" style="53" customWidth="1"/>
    <col min="3589" max="3589" width="10.6640625" style="53" customWidth="1"/>
    <col min="3590" max="3590" width="17.88671875" style="53" customWidth="1"/>
    <col min="3591" max="3591" width="12.88671875" style="53" customWidth="1"/>
    <col min="3592" max="3592" width="11.88671875" style="53" customWidth="1"/>
    <col min="3593" max="3594" width="12.6640625" style="53" bestFit="1" customWidth="1"/>
    <col min="3595" max="3595" width="13.88671875" style="53" bestFit="1" customWidth="1"/>
    <col min="3596" max="3596" width="12.6640625" style="53" customWidth="1"/>
    <col min="3597" max="3597" width="12.6640625" style="53" bestFit="1" customWidth="1"/>
    <col min="3598" max="3598" width="14.109375" style="53" bestFit="1" customWidth="1"/>
    <col min="3599" max="3599" width="8.88671875" style="53"/>
    <col min="3600" max="3600" width="15.88671875" style="53" customWidth="1"/>
    <col min="3601" max="3840" width="8.88671875" style="53"/>
    <col min="3841" max="3841" width="8.6640625" style="53" customWidth="1"/>
    <col min="3842" max="3842" width="7.88671875" style="53" customWidth="1"/>
    <col min="3843" max="3843" width="13.77734375" style="53" bestFit="1" customWidth="1"/>
    <col min="3844" max="3844" width="10" style="53" customWidth="1"/>
    <col min="3845" max="3845" width="10.6640625" style="53" customWidth="1"/>
    <col min="3846" max="3846" width="17.88671875" style="53" customWidth="1"/>
    <col min="3847" max="3847" width="12.88671875" style="53" customWidth="1"/>
    <col min="3848" max="3848" width="11.88671875" style="53" customWidth="1"/>
    <col min="3849" max="3850" width="12.6640625" style="53" bestFit="1" customWidth="1"/>
    <col min="3851" max="3851" width="13.88671875" style="53" bestFit="1" customWidth="1"/>
    <col min="3852" max="3852" width="12.6640625" style="53" customWidth="1"/>
    <col min="3853" max="3853" width="12.6640625" style="53" bestFit="1" customWidth="1"/>
    <col min="3854" max="3854" width="14.109375" style="53" bestFit="1" customWidth="1"/>
    <col min="3855" max="3855" width="8.88671875" style="53"/>
    <col min="3856" max="3856" width="15.88671875" style="53" customWidth="1"/>
    <col min="3857" max="4096" width="8.88671875" style="53"/>
    <col min="4097" max="4097" width="8.6640625" style="53" customWidth="1"/>
    <col min="4098" max="4098" width="7.88671875" style="53" customWidth="1"/>
    <col min="4099" max="4099" width="13.77734375" style="53" bestFit="1" customWidth="1"/>
    <col min="4100" max="4100" width="10" style="53" customWidth="1"/>
    <col min="4101" max="4101" width="10.6640625" style="53" customWidth="1"/>
    <col min="4102" max="4102" width="17.88671875" style="53" customWidth="1"/>
    <col min="4103" max="4103" width="12.88671875" style="53" customWidth="1"/>
    <col min="4104" max="4104" width="11.88671875" style="53" customWidth="1"/>
    <col min="4105" max="4106" width="12.6640625" style="53" bestFit="1" customWidth="1"/>
    <col min="4107" max="4107" width="13.88671875" style="53" bestFit="1" customWidth="1"/>
    <col min="4108" max="4108" width="12.6640625" style="53" customWidth="1"/>
    <col min="4109" max="4109" width="12.6640625" style="53" bestFit="1" customWidth="1"/>
    <col min="4110" max="4110" width="14.109375" style="53" bestFit="1" customWidth="1"/>
    <col min="4111" max="4111" width="8.88671875" style="53"/>
    <col min="4112" max="4112" width="15.88671875" style="53" customWidth="1"/>
    <col min="4113" max="4352" width="8.88671875" style="53"/>
    <col min="4353" max="4353" width="8.6640625" style="53" customWidth="1"/>
    <col min="4354" max="4354" width="7.88671875" style="53" customWidth="1"/>
    <col min="4355" max="4355" width="13.77734375" style="53" bestFit="1" customWidth="1"/>
    <col min="4356" max="4356" width="10" style="53" customWidth="1"/>
    <col min="4357" max="4357" width="10.6640625" style="53" customWidth="1"/>
    <col min="4358" max="4358" width="17.88671875" style="53" customWidth="1"/>
    <col min="4359" max="4359" width="12.88671875" style="53" customWidth="1"/>
    <col min="4360" max="4360" width="11.88671875" style="53" customWidth="1"/>
    <col min="4361" max="4362" width="12.6640625" style="53" bestFit="1" customWidth="1"/>
    <col min="4363" max="4363" width="13.88671875" style="53" bestFit="1" customWidth="1"/>
    <col min="4364" max="4364" width="12.6640625" style="53" customWidth="1"/>
    <col min="4365" max="4365" width="12.6640625" style="53" bestFit="1" customWidth="1"/>
    <col min="4366" max="4366" width="14.109375" style="53" bestFit="1" customWidth="1"/>
    <col min="4367" max="4367" width="8.88671875" style="53"/>
    <col min="4368" max="4368" width="15.88671875" style="53" customWidth="1"/>
    <col min="4369" max="4608" width="8.88671875" style="53"/>
    <col min="4609" max="4609" width="8.6640625" style="53" customWidth="1"/>
    <col min="4610" max="4610" width="7.88671875" style="53" customWidth="1"/>
    <col min="4611" max="4611" width="13.77734375" style="53" bestFit="1" customWidth="1"/>
    <col min="4612" max="4612" width="10" style="53" customWidth="1"/>
    <col min="4613" max="4613" width="10.6640625" style="53" customWidth="1"/>
    <col min="4614" max="4614" width="17.88671875" style="53" customWidth="1"/>
    <col min="4615" max="4615" width="12.88671875" style="53" customWidth="1"/>
    <col min="4616" max="4616" width="11.88671875" style="53" customWidth="1"/>
    <col min="4617" max="4618" width="12.6640625" style="53" bestFit="1" customWidth="1"/>
    <col min="4619" max="4619" width="13.88671875" style="53" bestFit="1" customWidth="1"/>
    <col min="4620" max="4620" width="12.6640625" style="53" customWidth="1"/>
    <col min="4621" max="4621" width="12.6640625" style="53" bestFit="1" customWidth="1"/>
    <col min="4622" max="4622" width="14.109375" style="53" bestFit="1" customWidth="1"/>
    <col min="4623" max="4623" width="8.88671875" style="53"/>
    <col min="4624" max="4624" width="15.88671875" style="53" customWidth="1"/>
    <col min="4625" max="4864" width="8.88671875" style="53"/>
    <col min="4865" max="4865" width="8.6640625" style="53" customWidth="1"/>
    <col min="4866" max="4866" width="7.88671875" style="53" customWidth="1"/>
    <col min="4867" max="4867" width="13.77734375" style="53" bestFit="1" customWidth="1"/>
    <col min="4868" max="4868" width="10" style="53" customWidth="1"/>
    <col min="4869" max="4869" width="10.6640625" style="53" customWidth="1"/>
    <col min="4870" max="4870" width="17.88671875" style="53" customWidth="1"/>
    <col min="4871" max="4871" width="12.88671875" style="53" customWidth="1"/>
    <col min="4872" max="4872" width="11.88671875" style="53" customWidth="1"/>
    <col min="4873" max="4874" width="12.6640625" style="53" bestFit="1" customWidth="1"/>
    <col min="4875" max="4875" width="13.88671875" style="53" bestFit="1" customWidth="1"/>
    <col min="4876" max="4876" width="12.6640625" style="53" customWidth="1"/>
    <col min="4877" max="4877" width="12.6640625" style="53" bestFit="1" customWidth="1"/>
    <col min="4878" max="4878" width="14.109375" style="53" bestFit="1" customWidth="1"/>
    <col min="4879" max="4879" width="8.88671875" style="53"/>
    <col min="4880" max="4880" width="15.88671875" style="53" customWidth="1"/>
    <col min="4881" max="5120" width="8.88671875" style="53"/>
    <col min="5121" max="5121" width="8.6640625" style="53" customWidth="1"/>
    <col min="5122" max="5122" width="7.88671875" style="53" customWidth="1"/>
    <col min="5123" max="5123" width="13.77734375" style="53" bestFit="1" customWidth="1"/>
    <col min="5124" max="5124" width="10" style="53" customWidth="1"/>
    <col min="5125" max="5125" width="10.6640625" style="53" customWidth="1"/>
    <col min="5126" max="5126" width="17.88671875" style="53" customWidth="1"/>
    <col min="5127" max="5127" width="12.88671875" style="53" customWidth="1"/>
    <col min="5128" max="5128" width="11.88671875" style="53" customWidth="1"/>
    <col min="5129" max="5130" width="12.6640625" style="53" bestFit="1" customWidth="1"/>
    <col min="5131" max="5131" width="13.88671875" style="53" bestFit="1" customWidth="1"/>
    <col min="5132" max="5132" width="12.6640625" style="53" customWidth="1"/>
    <col min="5133" max="5133" width="12.6640625" style="53" bestFit="1" customWidth="1"/>
    <col min="5134" max="5134" width="14.109375" style="53" bestFit="1" customWidth="1"/>
    <col min="5135" max="5135" width="8.88671875" style="53"/>
    <col min="5136" max="5136" width="15.88671875" style="53" customWidth="1"/>
    <col min="5137" max="5376" width="8.88671875" style="53"/>
    <col min="5377" max="5377" width="8.6640625" style="53" customWidth="1"/>
    <col min="5378" max="5378" width="7.88671875" style="53" customWidth="1"/>
    <col min="5379" max="5379" width="13.77734375" style="53" bestFit="1" customWidth="1"/>
    <col min="5380" max="5380" width="10" style="53" customWidth="1"/>
    <col min="5381" max="5381" width="10.6640625" style="53" customWidth="1"/>
    <col min="5382" max="5382" width="17.88671875" style="53" customWidth="1"/>
    <col min="5383" max="5383" width="12.88671875" style="53" customWidth="1"/>
    <col min="5384" max="5384" width="11.88671875" style="53" customWidth="1"/>
    <col min="5385" max="5386" width="12.6640625" style="53" bestFit="1" customWidth="1"/>
    <col min="5387" max="5387" width="13.88671875" style="53" bestFit="1" customWidth="1"/>
    <col min="5388" max="5388" width="12.6640625" style="53" customWidth="1"/>
    <col min="5389" max="5389" width="12.6640625" style="53" bestFit="1" customWidth="1"/>
    <col min="5390" max="5390" width="14.109375" style="53" bestFit="1" customWidth="1"/>
    <col min="5391" max="5391" width="8.88671875" style="53"/>
    <col min="5392" max="5392" width="15.88671875" style="53" customWidth="1"/>
    <col min="5393" max="5632" width="8.88671875" style="53"/>
    <col min="5633" max="5633" width="8.6640625" style="53" customWidth="1"/>
    <col min="5634" max="5634" width="7.88671875" style="53" customWidth="1"/>
    <col min="5635" max="5635" width="13.77734375" style="53" bestFit="1" customWidth="1"/>
    <col min="5636" max="5636" width="10" style="53" customWidth="1"/>
    <col min="5637" max="5637" width="10.6640625" style="53" customWidth="1"/>
    <col min="5638" max="5638" width="17.88671875" style="53" customWidth="1"/>
    <col min="5639" max="5639" width="12.88671875" style="53" customWidth="1"/>
    <col min="5640" max="5640" width="11.88671875" style="53" customWidth="1"/>
    <col min="5641" max="5642" width="12.6640625" style="53" bestFit="1" customWidth="1"/>
    <col min="5643" max="5643" width="13.88671875" style="53" bestFit="1" customWidth="1"/>
    <col min="5644" max="5644" width="12.6640625" style="53" customWidth="1"/>
    <col min="5645" max="5645" width="12.6640625" style="53" bestFit="1" customWidth="1"/>
    <col min="5646" max="5646" width="14.109375" style="53" bestFit="1" customWidth="1"/>
    <col min="5647" max="5647" width="8.88671875" style="53"/>
    <col min="5648" max="5648" width="15.88671875" style="53" customWidth="1"/>
    <col min="5649" max="5888" width="8.88671875" style="53"/>
    <col min="5889" max="5889" width="8.6640625" style="53" customWidth="1"/>
    <col min="5890" max="5890" width="7.88671875" style="53" customWidth="1"/>
    <col min="5891" max="5891" width="13.77734375" style="53" bestFit="1" customWidth="1"/>
    <col min="5892" max="5892" width="10" style="53" customWidth="1"/>
    <col min="5893" max="5893" width="10.6640625" style="53" customWidth="1"/>
    <col min="5894" max="5894" width="17.88671875" style="53" customWidth="1"/>
    <col min="5895" max="5895" width="12.88671875" style="53" customWidth="1"/>
    <col min="5896" max="5896" width="11.88671875" style="53" customWidth="1"/>
    <col min="5897" max="5898" width="12.6640625" style="53" bestFit="1" customWidth="1"/>
    <col min="5899" max="5899" width="13.88671875" style="53" bestFit="1" customWidth="1"/>
    <col min="5900" max="5900" width="12.6640625" style="53" customWidth="1"/>
    <col min="5901" max="5901" width="12.6640625" style="53" bestFit="1" customWidth="1"/>
    <col min="5902" max="5902" width="14.109375" style="53" bestFit="1" customWidth="1"/>
    <col min="5903" max="5903" width="8.88671875" style="53"/>
    <col min="5904" max="5904" width="15.88671875" style="53" customWidth="1"/>
    <col min="5905" max="6144" width="8.88671875" style="53"/>
    <col min="6145" max="6145" width="8.6640625" style="53" customWidth="1"/>
    <col min="6146" max="6146" width="7.88671875" style="53" customWidth="1"/>
    <col min="6147" max="6147" width="13.77734375" style="53" bestFit="1" customWidth="1"/>
    <col min="6148" max="6148" width="10" style="53" customWidth="1"/>
    <col min="6149" max="6149" width="10.6640625" style="53" customWidth="1"/>
    <col min="6150" max="6150" width="17.88671875" style="53" customWidth="1"/>
    <col min="6151" max="6151" width="12.88671875" style="53" customWidth="1"/>
    <col min="6152" max="6152" width="11.88671875" style="53" customWidth="1"/>
    <col min="6153" max="6154" width="12.6640625" style="53" bestFit="1" customWidth="1"/>
    <col min="6155" max="6155" width="13.88671875" style="53" bestFit="1" customWidth="1"/>
    <col min="6156" max="6156" width="12.6640625" style="53" customWidth="1"/>
    <col min="6157" max="6157" width="12.6640625" style="53" bestFit="1" customWidth="1"/>
    <col min="6158" max="6158" width="14.109375" style="53" bestFit="1" customWidth="1"/>
    <col min="6159" max="6159" width="8.88671875" style="53"/>
    <col min="6160" max="6160" width="15.88671875" style="53" customWidth="1"/>
    <col min="6161" max="6400" width="8.88671875" style="53"/>
    <col min="6401" max="6401" width="8.6640625" style="53" customWidth="1"/>
    <col min="6402" max="6402" width="7.88671875" style="53" customWidth="1"/>
    <col min="6403" max="6403" width="13.77734375" style="53" bestFit="1" customWidth="1"/>
    <col min="6404" max="6404" width="10" style="53" customWidth="1"/>
    <col min="6405" max="6405" width="10.6640625" style="53" customWidth="1"/>
    <col min="6406" max="6406" width="17.88671875" style="53" customWidth="1"/>
    <col min="6407" max="6407" width="12.88671875" style="53" customWidth="1"/>
    <col min="6408" max="6408" width="11.88671875" style="53" customWidth="1"/>
    <col min="6409" max="6410" width="12.6640625" style="53" bestFit="1" customWidth="1"/>
    <col min="6411" max="6411" width="13.88671875" style="53" bestFit="1" customWidth="1"/>
    <col min="6412" max="6412" width="12.6640625" style="53" customWidth="1"/>
    <col min="6413" max="6413" width="12.6640625" style="53" bestFit="1" customWidth="1"/>
    <col min="6414" max="6414" width="14.109375" style="53" bestFit="1" customWidth="1"/>
    <col min="6415" max="6415" width="8.88671875" style="53"/>
    <col min="6416" max="6416" width="15.88671875" style="53" customWidth="1"/>
    <col min="6417" max="6656" width="8.88671875" style="53"/>
    <col min="6657" max="6657" width="8.6640625" style="53" customWidth="1"/>
    <col min="6658" max="6658" width="7.88671875" style="53" customWidth="1"/>
    <col min="6659" max="6659" width="13.77734375" style="53" bestFit="1" customWidth="1"/>
    <col min="6660" max="6660" width="10" style="53" customWidth="1"/>
    <col min="6661" max="6661" width="10.6640625" style="53" customWidth="1"/>
    <col min="6662" max="6662" width="17.88671875" style="53" customWidth="1"/>
    <col min="6663" max="6663" width="12.88671875" style="53" customWidth="1"/>
    <col min="6664" max="6664" width="11.88671875" style="53" customWidth="1"/>
    <col min="6665" max="6666" width="12.6640625" style="53" bestFit="1" customWidth="1"/>
    <col min="6667" max="6667" width="13.88671875" style="53" bestFit="1" customWidth="1"/>
    <col min="6668" max="6668" width="12.6640625" style="53" customWidth="1"/>
    <col min="6669" max="6669" width="12.6640625" style="53" bestFit="1" customWidth="1"/>
    <col min="6670" max="6670" width="14.109375" style="53" bestFit="1" customWidth="1"/>
    <col min="6671" max="6671" width="8.88671875" style="53"/>
    <col min="6672" max="6672" width="15.88671875" style="53" customWidth="1"/>
    <col min="6673" max="6912" width="8.88671875" style="53"/>
    <col min="6913" max="6913" width="8.6640625" style="53" customWidth="1"/>
    <col min="6914" max="6914" width="7.88671875" style="53" customWidth="1"/>
    <col min="6915" max="6915" width="13.77734375" style="53" bestFit="1" customWidth="1"/>
    <col min="6916" max="6916" width="10" style="53" customWidth="1"/>
    <col min="6917" max="6917" width="10.6640625" style="53" customWidth="1"/>
    <col min="6918" max="6918" width="17.88671875" style="53" customWidth="1"/>
    <col min="6919" max="6919" width="12.88671875" style="53" customWidth="1"/>
    <col min="6920" max="6920" width="11.88671875" style="53" customWidth="1"/>
    <col min="6921" max="6922" width="12.6640625" style="53" bestFit="1" customWidth="1"/>
    <col min="6923" max="6923" width="13.88671875" style="53" bestFit="1" customWidth="1"/>
    <col min="6924" max="6924" width="12.6640625" style="53" customWidth="1"/>
    <col min="6925" max="6925" width="12.6640625" style="53" bestFit="1" customWidth="1"/>
    <col min="6926" max="6926" width="14.109375" style="53" bestFit="1" customWidth="1"/>
    <col min="6927" max="6927" width="8.88671875" style="53"/>
    <col min="6928" max="6928" width="15.88671875" style="53" customWidth="1"/>
    <col min="6929" max="7168" width="8.88671875" style="53"/>
    <col min="7169" max="7169" width="8.6640625" style="53" customWidth="1"/>
    <col min="7170" max="7170" width="7.88671875" style="53" customWidth="1"/>
    <col min="7171" max="7171" width="13.77734375" style="53" bestFit="1" customWidth="1"/>
    <col min="7172" max="7172" width="10" style="53" customWidth="1"/>
    <col min="7173" max="7173" width="10.6640625" style="53" customWidth="1"/>
    <col min="7174" max="7174" width="17.88671875" style="53" customWidth="1"/>
    <col min="7175" max="7175" width="12.88671875" style="53" customWidth="1"/>
    <col min="7176" max="7176" width="11.88671875" style="53" customWidth="1"/>
    <col min="7177" max="7178" width="12.6640625" style="53" bestFit="1" customWidth="1"/>
    <col min="7179" max="7179" width="13.88671875" style="53" bestFit="1" customWidth="1"/>
    <col min="7180" max="7180" width="12.6640625" style="53" customWidth="1"/>
    <col min="7181" max="7181" width="12.6640625" style="53" bestFit="1" customWidth="1"/>
    <col min="7182" max="7182" width="14.109375" style="53" bestFit="1" customWidth="1"/>
    <col min="7183" max="7183" width="8.88671875" style="53"/>
    <col min="7184" max="7184" width="15.88671875" style="53" customWidth="1"/>
    <col min="7185" max="7424" width="8.88671875" style="53"/>
    <col min="7425" max="7425" width="8.6640625" style="53" customWidth="1"/>
    <col min="7426" max="7426" width="7.88671875" style="53" customWidth="1"/>
    <col min="7427" max="7427" width="13.77734375" style="53" bestFit="1" customWidth="1"/>
    <col min="7428" max="7428" width="10" style="53" customWidth="1"/>
    <col min="7429" max="7429" width="10.6640625" style="53" customWidth="1"/>
    <col min="7430" max="7430" width="17.88671875" style="53" customWidth="1"/>
    <col min="7431" max="7431" width="12.88671875" style="53" customWidth="1"/>
    <col min="7432" max="7432" width="11.88671875" style="53" customWidth="1"/>
    <col min="7433" max="7434" width="12.6640625" style="53" bestFit="1" customWidth="1"/>
    <col min="7435" max="7435" width="13.88671875" style="53" bestFit="1" customWidth="1"/>
    <col min="7436" max="7436" width="12.6640625" style="53" customWidth="1"/>
    <col min="7437" max="7437" width="12.6640625" style="53" bestFit="1" customWidth="1"/>
    <col min="7438" max="7438" width="14.109375" style="53" bestFit="1" customWidth="1"/>
    <col min="7439" max="7439" width="8.88671875" style="53"/>
    <col min="7440" max="7440" width="15.88671875" style="53" customWidth="1"/>
    <col min="7441" max="7680" width="8.88671875" style="53"/>
    <col min="7681" max="7681" width="8.6640625" style="53" customWidth="1"/>
    <col min="7682" max="7682" width="7.88671875" style="53" customWidth="1"/>
    <col min="7683" max="7683" width="13.77734375" style="53" bestFit="1" customWidth="1"/>
    <col min="7684" max="7684" width="10" style="53" customWidth="1"/>
    <col min="7685" max="7685" width="10.6640625" style="53" customWidth="1"/>
    <col min="7686" max="7686" width="17.88671875" style="53" customWidth="1"/>
    <col min="7687" max="7687" width="12.88671875" style="53" customWidth="1"/>
    <col min="7688" max="7688" width="11.88671875" style="53" customWidth="1"/>
    <col min="7689" max="7690" width="12.6640625" style="53" bestFit="1" customWidth="1"/>
    <col min="7691" max="7691" width="13.88671875" style="53" bestFit="1" customWidth="1"/>
    <col min="7692" max="7692" width="12.6640625" style="53" customWidth="1"/>
    <col min="7693" max="7693" width="12.6640625" style="53" bestFit="1" customWidth="1"/>
    <col min="7694" max="7694" width="14.109375" style="53" bestFit="1" customWidth="1"/>
    <col min="7695" max="7695" width="8.88671875" style="53"/>
    <col min="7696" max="7696" width="15.88671875" style="53" customWidth="1"/>
    <col min="7697" max="7936" width="8.88671875" style="53"/>
    <col min="7937" max="7937" width="8.6640625" style="53" customWidth="1"/>
    <col min="7938" max="7938" width="7.88671875" style="53" customWidth="1"/>
    <col min="7939" max="7939" width="13.77734375" style="53" bestFit="1" customWidth="1"/>
    <col min="7940" max="7940" width="10" style="53" customWidth="1"/>
    <col min="7941" max="7941" width="10.6640625" style="53" customWidth="1"/>
    <col min="7942" max="7942" width="17.88671875" style="53" customWidth="1"/>
    <col min="7943" max="7943" width="12.88671875" style="53" customWidth="1"/>
    <col min="7944" max="7944" width="11.88671875" style="53" customWidth="1"/>
    <col min="7945" max="7946" width="12.6640625" style="53" bestFit="1" customWidth="1"/>
    <col min="7947" max="7947" width="13.88671875" style="53" bestFit="1" customWidth="1"/>
    <col min="7948" max="7948" width="12.6640625" style="53" customWidth="1"/>
    <col min="7949" max="7949" width="12.6640625" style="53" bestFit="1" customWidth="1"/>
    <col min="7950" max="7950" width="14.109375" style="53" bestFit="1" customWidth="1"/>
    <col min="7951" max="7951" width="8.88671875" style="53"/>
    <col min="7952" max="7952" width="15.88671875" style="53" customWidth="1"/>
    <col min="7953" max="8192" width="8.88671875" style="53"/>
    <col min="8193" max="8193" width="8.6640625" style="53" customWidth="1"/>
    <col min="8194" max="8194" width="7.88671875" style="53" customWidth="1"/>
    <col min="8195" max="8195" width="13.77734375" style="53" bestFit="1" customWidth="1"/>
    <col min="8196" max="8196" width="10" style="53" customWidth="1"/>
    <col min="8197" max="8197" width="10.6640625" style="53" customWidth="1"/>
    <col min="8198" max="8198" width="17.88671875" style="53" customWidth="1"/>
    <col min="8199" max="8199" width="12.88671875" style="53" customWidth="1"/>
    <col min="8200" max="8200" width="11.88671875" style="53" customWidth="1"/>
    <col min="8201" max="8202" width="12.6640625" style="53" bestFit="1" customWidth="1"/>
    <col min="8203" max="8203" width="13.88671875" style="53" bestFit="1" customWidth="1"/>
    <col min="8204" max="8204" width="12.6640625" style="53" customWidth="1"/>
    <col min="8205" max="8205" width="12.6640625" style="53" bestFit="1" customWidth="1"/>
    <col min="8206" max="8206" width="14.109375" style="53" bestFit="1" customWidth="1"/>
    <col min="8207" max="8207" width="8.88671875" style="53"/>
    <col min="8208" max="8208" width="15.88671875" style="53" customWidth="1"/>
    <col min="8209" max="8448" width="8.88671875" style="53"/>
    <col min="8449" max="8449" width="8.6640625" style="53" customWidth="1"/>
    <col min="8450" max="8450" width="7.88671875" style="53" customWidth="1"/>
    <col min="8451" max="8451" width="13.77734375" style="53" bestFit="1" customWidth="1"/>
    <col min="8452" max="8452" width="10" style="53" customWidth="1"/>
    <col min="8453" max="8453" width="10.6640625" style="53" customWidth="1"/>
    <col min="8454" max="8454" width="17.88671875" style="53" customWidth="1"/>
    <col min="8455" max="8455" width="12.88671875" style="53" customWidth="1"/>
    <col min="8456" max="8456" width="11.88671875" style="53" customWidth="1"/>
    <col min="8457" max="8458" width="12.6640625" style="53" bestFit="1" customWidth="1"/>
    <col min="8459" max="8459" width="13.88671875" style="53" bestFit="1" customWidth="1"/>
    <col min="8460" max="8460" width="12.6640625" style="53" customWidth="1"/>
    <col min="8461" max="8461" width="12.6640625" style="53" bestFit="1" customWidth="1"/>
    <col min="8462" max="8462" width="14.109375" style="53" bestFit="1" customWidth="1"/>
    <col min="8463" max="8463" width="8.88671875" style="53"/>
    <col min="8464" max="8464" width="15.88671875" style="53" customWidth="1"/>
    <col min="8465" max="8704" width="8.88671875" style="53"/>
    <col min="8705" max="8705" width="8.6640625" style="53" customWidth="1"/>
    <col min="8706" max="8706" width="7.88671875" style="53" customWidth="1"/>
    <col min="8707" max="8707" width="13.77734375" style="53" bestFit="1" customWidth="1"/>
    <col min="8708" max="8708" width="10" style="53" customWidth="1"/>
    <col min="8709" max="8709" width="10.6640625" style="53" customWidth="1"/>
    <col min="8710" max="8710" width="17.88671875" style="53" customWidth="1"/>
    <col min="8711" max="8711" width="12.88671875" style="53" customWidth="1"/>
    <col min="8712" max="8712" width="11.88671875" style="53" customWidth="1"/>
    <col min="8713" max="8714" width="12.6640625" style="53" bestFit="1" customWidth="1"/>
    <col min="8715" max="8715" width="13.88671875" style="53" bestFit="1" customWidth="1"/>
    <col min="8716" max="8716" width="12.6640625" style="53" customWidth="1"/>
    <col min="8717" max="8717" width="12.6640625" style="53" bestFit="1" customWidth="1"/>
    <col min="8718" max="8718" width="14.109375" style="53" bestFit="1" customWidth="1"/>
    <col min="8719" max="8719" width="8.88671875" style="53"/>
    <col min="8720" max="8720" width="15.88671875" style="53" customWidth="1"/>
    <col min="8721" max="8960" width="8.88671875" style="53"/>
    <col min="8961" max="8961" width="8.6640625" style="53" customWidth="1"/>
    <col min="8962" max="8962" width="7.88671875" style="53" customWidth="1"/>
    <col min="8963" max="8963" width="13.77734375" style="53" bestFit="1" customWidth="1"/>
    <col min="8964" max="8964" width="10" style="53" customWidth="1"/>
    <col min="8965" max="8965" width="10.6640625" style="53" customWidth="1"/>
    <col min="8966" max="8966" width="17.88671875" style="53" customWidth="1"/>
    <col min="8967" max="8967" width="12.88671875" style="53" customWidth="1"/>
    <col min="8968" max="8968" width="11.88671875" style="53" customWidth="1"/>
    <col min="8969" max="8970" width="12.6640625" style="53" bestFit="1" customWidth="1"/>
    <col min="8971" max="8971" width="13.88671875" style="53" bestFit="1" customWidth="1"/>
    <col min="8972" max="8972" width="12.6640625" style="53" customWidth="1"/>
    <col min="8973" max="8973" width="12.6640625" style="53" bestFit="1" customWidth="1"/>
    <col min="8974" max="8974" width="14.109375" style="53" bestFit="1" customWidth="1"/>
    <col min="8975" max="8975" width="8.88671875" style="53"/>
    <col min="8976" max="8976" width="15.88671875" style="53" customWidth="1"/>
    <col min="8977" max="9216" width="8.88671875" style="53"/>
    <col min="9217" max="9217" width="8.6640625" style="53" customWidth="1"/>
    <col min="9218" max="9218" width="7.88671875" style="53" customWidth="1"/>
    <col min="9219" max="9219" width="13.77734375" style="53" bestFit="1" customWidth="1"/>
    <col min="9220" max="9220" width="10" style="53" customWidth="1"/>
    <col min="9221" max="9221" width="10.6640625" style="53" customWidth="1"/>
    <col min="9222" max="9222" width="17.88671875" style="53" customWidth="1"/>
    <col min="9223" max="9223" width="12.88671875" style="53" customWidth="1"/>
    <col min="9224" max="9224" width="11.88671875" style="53" customWidth="1"/>
    <col min="9225" max="9226" width="12.6640625" style="53" bestFit="1" customWidth="1"/>
    <col min="9227" max="9227" width="13.88671875" style="53" bestFit="1" customWidth="1"/>
    <col min="9228" max="9228" width="12.6640625" style="53" customWidth="1"/>
    <col min="9229" max="9229" width="12.6640625" style="53" bestFit="1" customWidth="1"/>
    <col min="9230" max="9230" width="14.109375" style="53" bestFit="1" customWidth="1"/>
    <col min="9231" max="9231" width="8.88671875" style="53"/>
    <col min="9232" max="9232" width="15.88671875" style="53" customWidth="1"/>
    <col min="9233" max="9472" width="8.88671875" style="53"/>
    <col min="9473" max="9473" width="8.6640625" style="53" customWidth="1"/>
    <col min="9474" max="9474" width="7.88671875" style="53" customWidth="1"/>
    <col min="9475" max="9475" width="13.77734375" style="53" bestFit="1" customWidth="1"/>
    <col min="9476" max="9476" width="10" style="53" customWidth="1"/>
    <col min="9477" max="9477" width="10.6640625" style="53" customWidth="1"/>
    <col min="9478" max="9478" width="17.88671875" style="53" customWidth="1"/>
    <col min="9479" max="9479" width="12.88671875" style="53" customWidth="1"/>
    <col min="9480" max="9480" width="11.88671875" style="53" customWidth="1"/>
    <col min="9481" max="9482" width="12.6640625" style="53" bestFit="1" customWidth="1"/>
    <col min="9483" max="9483" width="13.88671875" style="53" bestFit="1" customWidth="1"/>
    <col min="9484" max="9484" width="12.6640625" style="53" customWidth="1"/>
    <col min="9485" max="9485" width="12.6640625" style="53" bestFit="1" customWidth="1"/>
    <col min="9486" max="9486" width="14.109375" style="53" bestFit="1" customWidth="1"/>
    <col min="9487" max="9487" width="8.88671875" style="53"/>
    <col min="9488" max="9488" width="15.88671875" style="53" customWidth="1"/>
    <col min="9489" max="9728" width="8.88671875" style="53"/>
    <col min="9729" max="9729" width="8.6640625" style="53" customWidth="1"/>
    <col min="9730" max="9730" width="7.88671875" style="53" customWidth="1"/>
    <col min="9731" max="9731" width="13.77734375" style="53" bestFit="1" customWidth="1"/>
    <col min="9732" max="9732" width="10" style="53" customWidth="1"/>
    <col min="9733" max="9733" width="10.6640625" style="53" customWidth="1"/>
    <col min="9734" max="9734" width="17.88671875" style="53" customWidth="1"/>
    <col min="9735" max="9735" width="12.88671875" style="53" customWidth="1"/>
    <col min="9736" max="9736" width="11.88671875" style="53" customWidth="1"/>
    <col min="9737" max="9738" width="12.6640625" style="53" bestFit="1" customWidth="1"/>
    <col min="9739" max="9739" width="13.88671875" style="53" bestFit="1" customWidth="1"/>
    <col min="9740" max="9740" width="12.6640625" style="53" customWidth="1"/>
    <col min="9741" max="9741" width="12.6640625" style="53" bestFit="1" customWidth="1"/>
    <col min="9742" max="9742" width="14.109375" style="53" bestFit="1" customWidth="1"/>
    <col min="9743" max="9743" width="8.88671875" style="53"/>
    <col min="9744" max="9744" width="15.88671875" style="53" customWidth="1"/>
    <col min="9745" max="9984" width="8.88671875" style="53"/>
    <col min="9985" max="9985" width="8.6640625" style="53" customWidth="1"/>
    <col min="9986" max="9986" width="7.88671875" style="53" customWidth="1"/>
    <col min="9987" max="9987" width="13.77734375" style="53" bestFit="1" customWidth="1"/>
    <col min="9988" max="9988" width="10" style="53" customWidth="1"/>
    <col min="9989" max="9989" width="10.6640625" style="53" customWidth="1"/>
    <col min="9990" max="9990" width="17.88671875" style="53" customWidth="1"/>
    <col min="9991" max="9991" width="12.88671875" style="53" customWidth="1"/>
    <col min="9992" max="9992" width="11.88671875" style="53" customWidth="1"/>
    <col min="9993" max="9994" width="12.6640625" style="53" bestFit="1" customWidth="1"/>
    <col min="9995" max="9995" width="13.88671875" style="53" bestFit="1" customWidth="1"/>
    <col min="9996" max="9996" width="12.6640625" style="53" customWidth="1"/>
    <col min="9997" max="9997" width="12.6640625" style="53" bestFit="1" customWidth="1"/>
    <col min="9998" max="9998" width="14.109375" style="53" bestFit="1" customWidth="1"/>
    <col min="9999" max="9999" width="8.88671875" style="53"/>
    <col min="10000" max="10000" width="15.88671875" style="53" customWidth="1"/>
    <col min="10001" max="10240" width="8.88671875" style="53"/>
    <col min="10241" max="10241" width="8.6640625" style="53" customWidth="1"/>
    <col min="10242" max="10242" width="7.88671875" style="53" customWidth="1"/>
    <col min="10243" max="10243" width="13.77734375" style="53" bestFit="1" customWidth="1"/>
    <col min="10244" max="10244" width="10" style="53" customWidth="1"/>
    <col min="10245" max="10245" width="10.6640625" style="53" customWidth="1"/>
    <col min="10246" max="10246" width="17.88671875" style="53" customWidth="1"/>
    <col min="10247" max="10247" width="12.88671875" style="53" customWidth="1"/>
    <col min="10248" max="10248" width="11.88671875" style="53" customWidth="1"/>
    <col min="10249" max="10250" width="12.6640625" style="53" bestFit="1" customWidth="1"/>
    <col min="10251" max="10251" width="13.88671875" style="53" bestFit="1" customWidth="1"/>
    <col min="10252" max="10252" width="12.6640625" style="53" customWidth="1"/>
    <col min="10253" max="10253" width="12.6640625" style="53" bestFit="1" customWidth="1"/>
    <col min="10254" max="10254" width="14.109375" style="53" bestFit="1" customWidth="1"/>
    <col min="10255" max="10255" width="8.88671875" style="53"/>
    <col min="10256" max="10256" width="15.88671875" style="53" customWidth="1"/>
    <col min="10257" max="10496" width="8.88671875" style="53"/>
    <col min="10497" max="10497" width="8.6640625" style="53" customWidth="1"/>
    <col min="10498" max="10498" width="7.88671875" style="53" customWidth="1"/>
    <col min="10499" max="10499" width="13.77734375" style="53" bestFit="1" customWidth="1"/>
    <col min="10500" max="10500" width="10" style="53" customWidth="1"/>
    <col min="10501" max="10501" width="10.6640625" style="53" customWidth="1"/>
    <col min="10502" max="10502" width="17.88671875" style="53" customWidth="1"/>
    <col min="10503" max="10503" width="12.88671875" style="53" customWidth="1"/>
    <col min="10504" max="10504" width="11.88671875" style="53" customWidth="1"/>
    <col min="10505" max="10506" width="12.6640625" style="53" bestFit="1" customWidth="1"/>
    <col min="10507" max="10507" width="13.88671875" style="53" bestFit="1" customWidth="1"/>
    <col min="10508" max="10508" width="12.6640625" style="53" customWidth="1"/>
    <col min="10509" max="10509" width="12.6640625" style="53" bestFit="1" customWidth="1"/>
    <col min="10510" max="10510" width="14.109375" style="53" bestFit="1" customWidth="1"/>
    <col min="10511" max="10511" width="8.88671875" style="53"/>
    <col min="10512" max="10512" width="15.88671875" style="53" customWidth="1"/>
    <col min="10513" max="10752" width="8.88671875" style="53"/>
    <col min="10753" max="10753" width="8.6640625" style="53" customWidth="1"/>
    <col min="10754" max="10754" width="7.88671875" style="53" customWidth="1"/>
    <col min="10755" max="10755" width="13.77734375" style="53" bestFit="1" customWidth="1"/>
    <col min="10756" max="10756" width="10" style="53" customWidth="1"/>
    <col min="10757" max="10757" width="10.6640625" style="53" customWidth="1"/>
    <col min="10758" max="10758" width="17.88671875" style="53" customWidth="1"/>
    <col min="10759" max="10759" width="12.88671875" style="53" customWidth="1"/>
    <col min="10760" max="10760" width="11.88671875" style="53" customWidth="1"/>
    <col min="10761" max="10762" width="12.6640625" style="53" bestFit="1" customWidth="1"/>
    <col min="10763" max="10763" width="13.88671875" style="53" bestFit="1" customWidth="1"/>
    <col min="10764" max="10764" width="12.6640625" style="53" customWidth="1"/>
    <col min="10765" max="10765" width="12.6640625" style="53" bestFit="1" customWidth="1"/>
    <col min="10766" max="10766" width="14.109375" style="53" bestFit="1" customWidth="1"/>
    <col min="10767" max="10767" width="8.88671875" style="53"/>
    <col min="10768" max="10768" width="15.88671875" style="53" customWidth="1"/>
    <col min="10769" max="11008" width="8.88671875" style="53"/>
    <col min="11009" max="11009" width="8.6640625" style="53" customWidth="1"/>
    <col min="11010" max="11010" width="7.88671875" style="53" customWidth="1"/>
    <col min="11011" max="11011" width="13.77734375" style="53" bestFit="1" customWidth="1"/>
    <col min="11012" max="11012" width="10" style="53" customWidth="1"/>
    <col min="11013" max="11013" width="10.6640625" style="53" customWidth="1"/>
    <col min="11014" max="11014" width="17.88671875" style="53" customWidth="1"/>
    <col min="11015" max="11015" width="12.88671875" style="53" customWidth="1"/>
    <col min="11016" max="11016" width="11.88671875" style="53" customWidth="1"/>
    <col min="11017" max="11018" width="12.6640625" style="53" bestFit="1" customWidth="1"/>
    <col min="11019" max="11019" width="13.88671875" style="53" bestFit="1" customWidth="1"/>
    <col min="11020" max="11020" width="12.6640625" style="53" customWidth="1"/>
    <col min="11021" max="11021" width="12.6640625" style="53" bestFit="1" customWidth="1"/>
    <col min="11022" max="11022" width="14.109375" style="53" bestFit="1" customWidth="1"/>
    <col min="11023" max="11023" width="8.88671875" style="53"/>
    <col min="11024" max="11024" width="15.88671875" style="53" customWidth="1"/>
    <col min="11025" max="11264" width="8.88671875" style="53"/>
    <col min="11265" max="11265" width="8.6640625" style="53" customWidth="1"/>
    <col min="11266" max="11266" width="7.88671875" style="53" customWidth="1"/>
    <col min="11267" max="11267" width="13.77734375" style="53" bestFit="1" customWidth="1"/>
    <col min="11268" max="11268" width="10" style="53" customWidth="1"/>
    <col min="11269" max="11269" width="10.6640625" style="53" customWidth="1"/>
    <col min="11270" max="11270" width="17.88671875" style="53" customWidth="1"/>
    <col min="11271" max="11271" width="12.88671875" style="53" customWidth="1"/>
    <col min="11272" max="11272" width="11.88671875" style="53" customWidth="1"/>
    <col min="11273" max="11274" width="12.6640625" style="53" bestFit="1" customWidth="1"/>
    <col min="11275" max="11275" width="13.88671875" style="53" bestFit="1" customWidth="1"/>
    <col min="11276" max="11276" width="12.6640625" style="53" customWidth="1"/>
    <col min="11277" max="11277" width="12.6640625" style="53" bestFit="1" customWidth="1"/>
    <col min="11278" max="11278" width="14.109375" style="53" bestFit="1" customWidth="1"/>
    <col min="11279" max="11279" width="8.88671875" style="53"/>
    <col min="11280" max="11280" width="15.88671875" style="53" customWidth="1"/>
    <col min="11281" max="11520" width="8.88671875" style="53"/>
    <col min="11521" max="11521" width="8.6640625" style="53" customWidth="1"/>
    <col min="11522" max="11522" width="7.88671875" style="53" customWidth="1"/>
    <col min="11523" max="11523" width="13.77734375" style="53" bestFit="1" customWidth="1"/>
    <col min="11524" max="11524" width="10" style="53" customWidth="1"/>
    <col min="11525" max="11525" width="10.6640625" style="53" customWidth="1"/>
    <col min="11526" max="11526" width="17.88671875" style="53" customWidth="1"/>
    <col min="11527" max="11527" width="12.88671875" style="53" customWidth="1"/>
    <col min="11528" max="11528" width="11.88671875" style="53" customWidth="1"/>
    <col min="11529" max="11530" width="12.6640625" style="53" bestFit="1" customWidth="1"/>
    <col min="11531" max="11531" width="13.88671875" style="53" bestFit="1" customWidth="1"/>
    <col min="11532" max="11532" width="12.6640625" style="53" customWidth="1"/>
    <col min="11533" max="11533" width="12.6640625" style="53" bestFit="1" customWidth="1"/>
    <col min="11534" max="11534" width="14.109375" style="53" bestFit="1" customWidth="1"/>
    <col min="11535" max="11535" width="8.88671875" style="53"/>
    <col min="11536" max="11536" width="15.88671875" style="53" customWidth="1"/>
    <col min="11537" max="11776" width="8.88671875" style="53"/>
    <col min="11777" max="11777" width="8.6640625" style="53" customWidth="1"/>
    <col min="11778" max="11778" width="7.88671875" style="53" customWidth="1"/>
    <col min="11779" max="11779" width="13.77734375" style="53" bestFit="1" customWidth="1"/>
    <col min="11780" max="11780" width="10" style="53" customWidth="1"/>
    <col min="11781" max="11781" width="10.6640625" style="53" customWidth="1"/>
    <col min="11782" max="11782" width="17.88671875" style="53" customWidth="1"/>
    <col min="11783" max="11783" width="12.88671875" style="53" customWidth="1"/>
    <col min="11784" max="11784" width="11.88671875" style="53" customWidth="1"/>
    <col min="11785" max="11786" width="12.6640625" style="53" bestFit="1" customWidth="1"/>
    <col min="11787" max="11787" width="13.88671875" style="53" bestFit="1" customWidth="1"/>
    <col min="11788" max="11788" width="12.6640625" style="53" customWidth="1"/>
    <col min="11789" max="11789" width="12.6640625" style="53" bestFit="1" customWidth="1"/>
    <col min="11790" max="11790" width="14.109375" style="53" bestFit="1" customWidth="1"/>
    <col min="11791" max="11791" width="8.88671875" style="53"/>
    <col min="11792" max="11792" width="15.88671875" style="53" customWidth="1"/>
    <col min="11793" max="12032" width="8.88671875" style="53"/>
    <col min="12033" max="12033" width="8.6640625" style="53" customWidth="1"/>
    <col min="12034" max="12034" width="7.88671875" style="53" customWidth="1"/>
    <col min="12035" max="12035" width="13.77734375" style="53" bestFit="1" customWidth="1"/>
    <col min="12036" max="12036" width="10" style="53" customWidth="1"/>
    <col min="12037" max="12037" width="10.6640625" style="53" customWidth="1"/>
    <col min="12038" max="12038" width="17.88671875" style="53" customWidth="1"/>
    <col min="12039" max="12039" width="12.88671875" style="53" customWidth="1"/>
    <col min="12040" max="12040" width="11.88671875" style="53" customWidth="1"/>
    <col min="12041" max="12042" width="12.6640625" style="53" bestFit="1" customWidth="1"/>
    <col min="12043" max="12043" width="13.88671875" style="53" bestFit="1" customWidth="1"/>
    <col min="12044" max="12044" width="12.6640625" style="53" customWidth="1"/>
    <col min="12045" max="12045" width="12.6640625" style="53" bestFit="1" customWidth="1"/>
    <col min="12046" max="12046" width="14.109375" style="53" bestFit="1" customWidth="1"/>
    <col min="12047" max="12047" width="8.88671875" style="53"/>
    <col min="12048" max="12048" width="15.88671875" style="53" customWidth="1"/>
    <col min="12049" max="12288" width="8.88671875" style="53"/>
    <col min="12289" max="12289" width="8.6640625" style="53" customWidth="1"/>
    <col min="12290" max="12290" width="7.88671875" style="53" customWidth="1"/>
    <col min="12291" max="12291" width="13.77734375" style="53" bestFit="1" customWidth="1"/>
    <col min="12292" max="12292" width="10" style="53" customWidth="1"/>
    <col min="12293" max="12293" width="10.6640625" style="53" customWidth="1"/>
    <col min="12294" max="12294" width="17.88671875" style="53" customWidth="1"/>
    <col min="12295" max="12295" width="12.88671875" style="53" customWidth="1"/>
    <col min="12296" max="12296" width="11.88671875" style="53" customWidth="1"/>
    <col min="12297" max="12298" width="12.6640625" style="53" bestFit="1" customWidth="1"/>
    <col min="12299" max="12299" width="13.88671875" style="53" bestFit="1" customWidth="1"/>
    <col min="12300" max="12300" width="12.6640625" style="53" customWidth="1"/>
    <col min="12301" max="12301" width="12.6640625" style="53" bestFit="1" customWidth="1"/>
    <col min="12302" max="12302" width="14.109375" style="53" bestFit="1" customWidth="1"/>
    <col min="12303" max="12303" width="8.88671875" style="53"/>
    <col min="12304" max="12304" width="15.88671875" style="53" customWidth="1"/>
    <col min="12305" max="12544" width="8.88671875" style="53"/>
    <col min="12545" max="12545" width="8.6640625" style="53" customWidth="1"/>
    <col min="12546" max="12546" width="7.88671875" style="53" customWidth="1"/>
    <col min="12547" max="12547" width="13.77734375" style="53" bestFit="1" customWidth="1"/>
    <col min="12548" max="12548" width="10" style="53" customWidth="1"/>
    <col min="12549" max="12549" width="10.6640625" style="53" customWidth="1"/>
    <col min="12550" max="12550" width="17.88671875" style="53" customWidth="1"/>
    <col min="12551" max="12551" width="12.88671875" style="53" customWidth="1"/>
    <col min="12552" max="12552" width="11.88671875" style="53" customWidth="1"/>
    <col min="12553" max="12554" width="12.6640625" style="53" bestFit="1" customWidth="1"/>
    <col min="12555" max="12555" width="13.88671875" style="53" bestFit="1" customWidth="1"/>
    <col min="12556" max="12556" width="12.6640625" style="53" customWidth="1"/>
    <col min="12557" max="12557" width="12.6640625" style="53" bestFit="1" customWidth="1"/>
    <col min="12558" max="12558" width="14.109375" style="53" bestFit="1" customWidth="1"/>
    <col min="12559" max="12559" width="8.88671875" style="53"/>
    <col min="12560" max="12560" width="15.88671875" style="53" customWidth="1"/>
    <col min="12561" max="12800" width="8.88671875" style="53"/>
    <col min="12801" max="12801" width="8.6640625" style="53" customWidth="1"/>
    <col min="12802" max="12802" width="7.88671875" style="53" customWidth="1"/>
    <col min="12803" max="12803" width="13.77734375" style="53" bestFit="1" customWidth="1"/>
    <col min="12804" max="12804" width="10" style="53" customWidth="1"/>
    <col min="12805" max="12805" width="10.6640625" style="53" customWidth="1"/>
    <col min="12806" max="12806" width="17.88671875" style="53" customWidth="1"/>
    <col min="12807" max="12807" width="12.88671875" style="53" customWidth="1"/>
    <col min="12808" max="12808" width="11.88671875" style="53" customWidth="1"/>
    <col min="12809" max="12810" width="12.6640625" style="53" bestFit="1" customWidth="1"/>
    <col min="12811" max="12811" width="13.88671875" style="53" bestFit="1" customWidth="1"/>
    <col min="12812" max="12812" width="12.6640625" style="53" customWidth="1"/>
    <col min="12813" max="12813" width="12.6640625" style="53" bestFit="1" customWidth="1"/>
    <col min="12814" max="12814" width="14.109375" style="53" bestFit="1" customWidth="1"/>
    <col min="12815" max="12815" width="8.88671875" style="53"/>
    <col min="12816" max="12816" width="15.88671875" style="53" customWidth="1"/>
    <col min="12817" max="13056" width="8.88671875" style="53"/>
    <col min="13057" max="13057" width="8.6640625" style="53" customWidth="1"/>
    <col min="13058" max="13058" width="7.88671875" style="53" customWidth="1"/>
    <col min="13059" max="13059" width="13.77734375" style="53" bestFit="1" customWidth="1"/>
    <col min="13060" max="13060" width="10" style="53" customWidth="1"/>
    <col min="13061" max="13061" width="10.6640625" style="53" customWidth="1"/>
    <col min="13062" max="13062" width="17.88671875" style="53" customWidth="1"/>
    <col min="13063" max="13063" width="12.88671875" style="53" customWidth="1"/>
    <col min="13064" max="13064" width="11.88671875" style="53" customWidth="1"/>
    <col min="13065" max="13066" width="12.6640625" style="53" bestFit="1" customWidth="1"/>
    <col min="13067" max="13067" width="13.88671875" style="53" bestFit="1" customWidth="1"/>
    <col min="13068" max="13068" width="12.6640625" style="53" customWidth="1"/>
    <col min="13069" max="13069" width="12.6640625" style="53" bestFit="1" customWidth="1"/>
    <col min="13070" max="13070" width="14.109375" style="53" bestFit="1" customWidth="1"/>
    <col min="13071" max="13071" width="8.88671875" style="53"/>
    <col min="13072" max="13072" width="15.88671875" style="53" customWidth="1"/>
    <col min="13073" max="13312" width="8.88671875" style="53"/>
    <col min="13313" max="13313" width="8.6640625" style="53" customWidth="1"/>
    <col min="13314" max="13314" width="7.88671875" style="53" customWidth="1"/>
    <col min="13315" max="13315" width="13.77734375" style="53" bestFit="1" customWidth="1"/>
    <col min="13316" max="13316" width="10" style="53" customWidth="1"/>
    <col min="13317" max="13317" width="10.6640625" style="53" customWidth="1"/>
    <col min="13318" max="13318" width="17.88671875" style="53" customWidth="1"/>
    <col min="13319" max="13319" width="12.88671875" style="53" customWidth="1"/>
    <col min="13320" max="13320" width="11.88671875" style="53" customWidth="1"/>
    <col min="13321" max="13322" width="12.6640625" style="53" bestFit="1" customWidth="1"/>
    <col min="13323" max="13323" width="13.88671875" style="53" bestFit="1" customWidth="1"/>
    <col min="13324" max="13324" width="12.6640625" style="53" customWidth="1"/>
    <col min="13325" max="13325" width="12.6640625" style="53" bestFit="1" customWidth="1"/>
    <col min="13326" max="13326" width="14.109375" style="53" bestFit="1" customWidth="1"/>
    <col min="13327" max="13327" width="8.88671875" style="53"/>
    <col min="13328" max="13328" width="15.88671875" style="53" customWidth="1"/>
    <col min="13329" max="13568" width="8.88671875" style="53"/>
    <col min="13569" max="13569" width="8.6640625" style="53" customWidth="1"/>
    <col min="13570" max="13570" width="7.88671875" style="53" customWidth="1"/>
    <col min="13571" max="13571" width="13.77734375" style="53" bestFit="1" customWidth="1"/>
    <col min="13572" max="13572" width="10" style="53" customWidth="1"/>
    <col min="13573" max="13573" width="10.6640625" style="53" customWidth="1"/>
    <col min="13574" max="13574" width="17.88671875" style="53" customWidth="1"/>
    <col min="13575" max="13575" width="12.88671875" style="53" customWidth="1"/>
    <col min="13576" max="13576" width="11.88671875" style="53" customWidth="1"/>
    <col min="13577" max="13578" width="12.6640625" style="53" bestFit="1" customWidth="1"/>
    <col min="13579" max="13579" width="13.88671875" style="53" bestFit="1" customWidth="1"/>
    <col min="13580" max="13580" width="12.6640625" style="53" customWidth="1"/>
    <col min="13581" max="13581" width="12.6640625" style="53" bestFit="1" customWidth="1"/>
    <col min="13582" max="13582" width="14.109375" style="53" bestFit="1" customWidth="1"/>
    <col min="13583" max="13583" width="8.88671875" style="53"/>
    <col min="13584" max="13584" width="15.88671875" style="53" customWidth="1"/>
    <col min="13585" max="13824" width="8.88671875" style="53"/>
    <col min="13825" max="13825" width="8.6640625" style="53" customWidth="1"/>
    <col min="13826" max="13826" width="7.88671875" style="53" customWidth="1"/>
    <col min="13827" max="13827" width="13.77734375" style="53" bestFit="1" customWidth="1"/>
    <col min="13828" max="13828" width="10" style="53" customWidth="1"/>
    <col min="13829" max="13829" width="10.6640625" style="53" customWidth="1"/>
    <col min="13830" max="13830" width="17.88671875" style="53" customWidth="1"/>
    <col min="13831" max="13831" width="12.88671875" style="53" customWidth="1"/>
    <col min="13832" max="13832" width="11.88671875" style="53" customWidth="1"/>
    <col min="13833" max="13834" width="12.6640625" style="53" bestFit="1" customWidth="1"/>
    <col min="13835" max="13835" width="13.88671875" style="53" bestFit="1" customWidth="1"/>
    <col min="13836" max="13836" width="12.6640625" style="53" customWidth="1"/>
    <col min="13837" max="13837" width="12.6640625" style="53" bestFit="1" customWidth="1"/>
    <col min="13838" max="13838" width="14.109375" style="53" bestFit="1" customWidth="1"/>
    <col min="13839" max="13839" width="8.88671875" style="53"/>
    <col min="13840" max="13840" width="15.88671875" style="53" customWidth="1"/>
    <col min="13841" max="14080" width="8.88671875" style="53"/>
    <col min="14081" max="14081" width="8.6640625" style="53" customWidth="1"/>
    <col min="14082" max="14082" width="7.88671875" style="53" customWidth="1"/>
    <col min="14083" max="14083" width="13.77734375" style="53" bestFit="1" customWidth="1"/>
    <col min="14084" max="14084" width="10" style="53" customWidth="1"/>
    <col min="14085" max="14085" width="10.6640625" style="53" customWidth="1"/>
    <col min="14086" max="14086" width="17.88671875" style="53" customWidth="1"/>
    <col min="14087" max="14087" width="12.88671875" style="53" customWidth="1"/>
    <col min="14088" max="14088" width="11.88671875" style="53" customWidth="1"/>
    <col min="14089" max="14090" width="12.6640625" style="53" bestFit="1" customWidth="1"/>
    <col min="14091" max="14091" width="13.88671875" style="53" bestFit="1" customWidth="1"/>
    <col min="14092" max="14092" width="12.6640625" style="53" customWidth="1"/>
    <col min="14093" max="14093" width="12.6640625" style="53" bestFit="1" customWidth="1"/>
    <col min="14094" max="14094" width="14.109375" style="53" bestFit="1" customWidth="1"/>
    <col min="14095" max="14095" width="8.88671875" style="53"/>
    <col min="14096" max="14096" width="15.88671875" style="53" customWidth="1"/>
    <col min="14097" max="14336" width="8.88671875" style="53"/>
    <col min="14337" max="14337" width="8.6640625" style="53" customWidth="1"/>
    <col min="14338" max="14338" width="7.88671875" style="53" customWidth="1"/>
    <col min="14339" max="14339" width="13.77734375" style="53" bestFit="1" customWidth="1"/>
    <col min="14340" max="14340" width="10" style="53" customWidth="1"/>
    <col min="14341" max="14341" width="10.6640625" style="53" customWidth="1"/>
    <col min="14342" max="14342" width="17.88671875" style="53" customWidth="1"/>
    <col min="14343" max="14343" width="12.88671875" style="53" customWidth="1"/>
    <col min="14344" max="14344" width="11.88671875" style="53" customWidth="1"/>
    <col min="14345" max="14346" width="12.6640625" style="53" bestFit="1" customWidth="1"/>
    <col min="14347" max="14347" width="13.88671875" style="53" bestFit="1" customWidth="1"/>
    <col min="14348" max="14348" width="12.6640625" style="53" customWidth="1"/>
    <col min="14349" max="14349" width="12.6640625" style="53" bestFit="1" customWidth="1"/>
    <col min="14350" max="14350" width="14.109375" style="53" bestFit="1" customWidth="1"/>
    <col min="14351" max="14351" width="8.88671875" style="53"/>
    <col min="14352" max="14352" width="15.88671875" style="53" customWidth="1"/>
    <col min="14353" max="14592" width="8.88671875" style="53"/>
    <col min="14593" max="14593" width="8.6640625" style="53" customWidth="1"/>
    <col min="14594" max="14594" width="7.88671875" style="53" customWidth="1"/>
    <col min="14595" max="14595" width="13.77734375" style="53" bestFit="1" customWidth="1"/>
    <col min="14596" max="14596" width="10" style="53" customWidth="1"/>
    <col min="14597" max="14597" width="10.6640625" style="53" customWidth="1"/>
    <col min="14598" max="14598" width="17.88671875" style="53" customWidth="1"/>
    <col min="14599" max="14599" width="12.88671875" style="53" customWidth="1"/>
    <col min="14600" max="14600" width="11.88671875" style="53" customWidth="1"/>
    <col min="14601" max="14602" width="12.6640625" style="53" bestFit="1" customWidth="1"/>
    <col min="14603" max="14603" width="13.88671875" style="53" bestFit="1" customWidth="1"/>
    <col min="14604" max="14604" width="12.6640625" style="53" customWidth="1"/>
    <col min="14605" max="14605" width="12.6640625" style="53" bestFit="1" customWidth="1"/>
    <col min="14606" max="14606" width="14.109375" style="53" bestFit="1" customWidth="1"/>
    <col min="14607" max="14607" width="8.88671875" style="53"/>
    <col min="14608" max="14608" width="15.88671875" style="53" customWidth="1"/>
    <col min="14609" max="14848" width="8.88671875" style="53"/>
    <col min="14849" max="14849" width="8.6640625" style="53" customWidth="1"/>
    <col min="14850" max="14850" width="7.88671875" style="53" customWidth="1"/>
    <col min="14851" max="14851" width="13.77734375" style="53" bestFit="1" customWidth="1"/>
    <col min="14852" max="14852" width="10" style="53" customWidth="1"/>
    <col min="14853" max="14853" width="10.6640625" style="53" customWidth="1"/>
    <col min="14854" max="14854" width="17.88671875" style="53" customWidth="1"/>
    <col min="14855" max="14855" width="12.88671875" style="53" customWidth="1"/>
    <col min="14856" max="14856" width="11.88671875" style="53" customWidth="1"/>
    <col min="14857" max="14858" width="12.6640625" style="53" bestFit="1" customWidth="1"/>
    <col min="14859" max="14859" width="13.88671875" style="53" bestFit="1" customWidth="1"/>
    <col min="14860" max="14860" width="12.6640625" style="53" customWidth="1"/>
    <col min="14861" max="14861" width="12.6640625" style="53" bestFit="1" customWidth="1"/>
    <col min="14862" max="14862" width="14.109375" style="53" bestFit="1" customWidth="1"/>
    <col min="14863" max="14863" width="8.88671875" style="53"/>
    <col min="14864" max="14864" width="15.88671875" style="53" customWidth="1"/>
    <col min="14865" max="15104" width="8.88671875" style="53"/>
    <col min="15105" max="15105" width="8.6640625" style="53" customWidth="1"/>
    <col min="15106" max="15106" width="7.88671875" style="53" customWidth="1"/>
    <col min="15107" max="15107" width="13.77734375" style="53" bestFit="1" customWidth="1"/>
    <col min="15108" max="15108" width="10" style="53" customWidth="1"/>
    <col min="15109" max="15109" width="10.6640625" style="53" customWidth="1"/>
    <col min="15110" max="15110" width="17.88671875" style="53" customWidth="1"/>
    <col min="15111" max="15111" width="12.88671875" style="53" customWidth="1"/>
    <col min="15112" max="15112" width="11.88671875" style="53" customWidth="1"/>
    <col min="15113" max="15114" width="12.6640625" style="53" bestFit="1" customWidth="1"/>
    <col min="15115" max="15115" width="13.88671875" style="53" bestFit="1" customWidth="1"/>
    <col min="15116" max="15116" width="12.6640625" style="53" customWidth="1"/>
    <col min="15117" max="15117" width="12.6640625" style="53" bestFit="1" customWidth="1"/>
    <col min="15118" max="15118" width="14.109375" style="53" bestFit="1" customWidth="1"/>
    <col min="15119" max="15119" width="8.88671875" style="53"/>
    <col min="15120" max="15120" width="15.88671875" style="53" customWidth="1"/>
    <col min="15121" max="15360" width="8.88671875" style="53"/>
    <col min="15361" max="15361" width="8.6640625" style="53" customWidth="1"/>
    <col min="15362" max="15362" width="7.88671875" style="53" customWidth="1"/>
    <col min="15363" max="15363" width="13.77734375" style="53" bestFit="1" customWidth="1"/>
    <col min="15364" max="15364" width="10" style="53" customWidth="1"/>
    <col min="15365" max="15365" width="10.6640625" style="53" customWidth="1"/>
    <col min="15366" max="15366" width="17.88671875" style="53" customWidth="1"/>
    <col min="15367" max="15367" width="12.88671875" style="53" customWidth="1"/>
    <col min="15368" max="15368" width="11.88671875" style="53" customWidth="1"/>
    <col min="15369" max="15370" width="12.6640625" style="53" bestFit="1" customWidth="1"/>
    <col min="15371" max="15371" width="13.88671875" style="53" bestFit="1" customWidth="1"/>
    <col min="15372" max="15372" width="12.6640625" style="53" customWidth="1"/>
    <col min="15373" max="15373" width="12.6640625" style="53" bestFit="1" customWidth="1"/>
    <col min="15374" max="15374" width="14.109375" style="53" bestFit="1" customWidth="1"/>
    <col min="15375" max="15375" width="8.88671875" style="53"/>
    <col min="15376" max="15376" width="15.88671875" style="53" customWidth="1"/>
    <col min="15377" max="15616" width="8.88671875" style="53"/>
    <col min="15617" max="15617" width="8.6640625" style="53" customWidth="1"/>
    <col min="15618" max="15618" width="7.88671875" style="53" customWidth="1"/>
    <col min="15619" max="15619" width="13.77734375" style="53" bestFit="1" customWidth="1"/>
    <col min="15620" max="15620" width="10" style="53" customWidth="1"/>
    <col min="15621" max="15621" width="10.6640625" style="53" customWidth="1"/>
    <col min="15622" max="15622" width="17.88671875" style="53" customWidth="1"/>
    <col min="15623" max="15623" width="12.88671875" style="53" customWidth="1"/>
    <col min="15624" max="15624" width="11.88671875" style="53" customWidth="1"/>
    <col min="15625" max="15626" width="12.6640625" style="53" bestFit="1" customWidth="1"/>
    <col min="15627" max="15627" width="13.88671875" style="53" bestFit="1" customWidth="1"/>
    <col min="15628" max="15628" width="12.6640625" style="53" customWidth="1"/>
    <col min="15629" max="15629" width="12.6640625" style="53" bestFit="1" customWidth="1"/>
    <col min="15630" max="15630" width="14.109375" style="53" bestFit="1" customWidth="1"/>
    <col min="15631" max="15631" width="8.88671875" style="53"/>
    <col min="15632" max="15632" width="15.88671875" style="53" customWidth="1"/>
    <col min="15633" max="15872" width="8.88671875" style="53"/>
    <col min="15873" max="15873" width="8.6640625" style="53" customWidth="1"/>
    <col min="15874" max="15874" width="7.88671875" style="53" customWidth="1"/>
    <col min="15875" max="15875" width="13.77734375" style="53" bestFit="1" customWidth="1"/>
    <col min="15876" max="15876" width="10" style="53" customWidth="1"/>
    <col min="15877" max="15877" width="10.6640625" style="53" customWidth="1"/>
    <col min="15878" max="15878" width="17.88671875" style="53" customWidth="1"/>
    <col min="15879" max="15879" width="12.88671875" style="53" customWidth="1"/>
    <col min="15880" max="15880" width="11.88671875" style="53" customWidth="1"/>
    <col min="15881" max="15882" width="12.6640625" style="53" bestFit="1" customWidth="1"/>
    <col min="15883" max="15883" width="13.88671875" style="53" bestFit="1" customWidth="1"/>
    <col min="15884" max="15884" width="12.6640625" style="53" customWidth="1"/>
    <col min="15885" max="15885" width="12.6640625" style="53" bestFit="1" customWidth="1"/>
    <col min="15886" max="15886" width="14.109375" style="53" bestFit="1" customWidth="1"/>
    <col min="15887" max="15887" width="8.88671875" style="53"/>
    <col min="15888" max="15888" width="15.88671875" style="53" customWidth="1"/>
    <col min="15889" max="16128" width="8.88671875" style="53"/>
    <col min="16129" max="16129" width="8.6640625" style="53" customWidth="1"/>
    <col min="16130" max="16130" width="7.88671875" style="53" customWidth="1"/>
    <col min="16131" max="16131" width="13.77734375" style="53" bestFit="1" customWidth="1"/>
    <col min="16132" max="16132" width="10" style="53" customWidth="1"/>
    <col min="16133" max="16133" width="10.6640625" style="53" customWidth="1"/>
    <col min="16134" max="16134" width="17.88671875" style="53" customWidth="1"/>
    <col min="16135" max="16135" width="12.88671875" style="53" customWidth="1"/>
    <col min="16136" max="16136" width="11.88671875" style="53" customWidth="1"/>
    <col min="16137" max="16138" width="12.6640625" style="53" bestFit="1" customWidth="1"/>
    <col min="16139" max="16139" width="13.88671875" style="53" bestFit="1" customWidth="1"/>
    <col min="16140" max="16140" width="12.6640625" style="53" customWidth="1"/>
    <col min="16141" max="16141" width="12.6640625" style="53" bestFit="1" customWidth="1"/>
    <col min="16142" max="16142" width="14.109375" style="53" bestFit="1" customWidth="1"/>
    <col min="16143" max="16143" width="8.88671875" style="53"/>
    <col min="16144" max="16144" width="15.88671875" style="53" customWidth="1"/>
    <col min="16145" max="16384" width="8.88671875" style="53"/>
  </cols>
  <sheetData>
    <row r="1" spans="1:14" ht="30.75" customHeight="1">
      <c r="A1" s="1631" t="s">
        <v>136</v>
      </c>
      <c r="B1" s="1631"/>
      <c r="C1" s="1631"/>
      <c r="D1" s="1631"/>
      <c r="E1" s="1631"/>
      <c r="F1" s="1631"/>
      <c r="G1" s="1631"/>
      <c r="H1" s="1631"/>
      <c r="I1" s="1631"/>
      <c r="J1" s="1631"/>
      <c r="K1" s="1631"/>
    </row>
    <row r="2" spans="1:14" ht="19.5" customHeight="1" thickBot="1">
      <c r="A2" s="1632" t="s">
        <v>30</v>
      </c>
      <c r="B2" s="1632"/>
      <c r="C2" s="1632"/>
      <c r="D2" s="1632"/>
      <c r="E2" s="1632"/>
      <c r="F2" s="1632"/>
      <c r="G2" s="1632"/>
      <c r="H2" s="1632"/>
      <c r="I2" s="1632"/>
      <c r="J2" s="1632"/>
      <c r="K2" s="1632"/>
    </row>
    <row r="3" spans="1:14" ht="14.25" thickBot="1">
      <c r="A3" s="1633" t="s">
        <v>31</v>
      </c>
      <c r="B3" s="1633"/>
      <c r="C3" s="1633"/>
      <c r="D3" s="1634" t="s">
        <v>32</v>
      </c>
      <c r="E3" s="1635"/>
      <c r="F3" s="1636"/>
      <c r="G3" s="1640" t="s">
        <v>33</v>
      </c>
      <c r="H3" s="1642" t="s">
        <v>34</v>
      </c>
      <c r="I3" s="1644" t="s">
        <v>35</v>
      </c>
      <c r="J3" s="1642" t="s">
        <v>36</v>
      </c>
      <c r="K3" s="1646" t="s">
        <v>37</v>
      </c>
    </row>
    <row r="4" spans="1:14" ht="14.25" thickBot="1">
      <c r="A4" s="212" t="s">
        <v>38</v>
      </c>
      <c r="B4" s="212" t="s">
        <v>39</v>
      </c>
      <c r="C4" s="100" t="s">
        <v>40</v>
      </c>
      <c r="D4" s="1637"/>
      <c r="E4" s="1638"/>
      <c r="F4" s="1639"/>
      <c r="G4" s="1641"/>
      <c r="H4" s="1643"/>
      <c r="I4" s="1645"/>
      <c r="J4" s="1643"/>
      <c r="K4" s="1647"/>
    </row>
    <row r="5" spans="1:14" ht="14.25" thickBot="1">
      <c r="A5" s="1637" t="s">
        <v>41</v>
      </c>
      <c r="B5" s="1638"/>
      <c r="C5" s="1639"/>
      <c r="D5" s="1648"/>
      <c r="E5" s="1649"/>
      <c r="F5" s="1650"/>
      <c r="G5" s="101">
        <f>G10</f>
        <v>1619187760</v>
      </c>
      <c r="H5" s="101">
        <f>SUM(H124,H143)</f>
        <v>64000000</v>
      </c>
      <c r="I5" s="102">
        <f>I128+I143</f>
        <v>24120000</v>
      </c>
      <c r="J5" s="102">
        <f>J6+J139+J143</f>
        <v>34002543</v>
      </c>
      <c r="K5" s="103">
        <f>SUM(G5:J5)</f>
        <v>1741310303</v>
      </c>
    </row>
    <row r="6" spans="1:14">
      <c r="A6" s="104" t="s">
        <v>137</v>
      </c>
      <c r="B6" s="105"/>
      <c r="C6" s="106"/>
      <c r="D6" s="107"/>
      <c r="E6" s="108"/>
      <c r="F6" s="109"/>
      <c r="G6" s="110"/>
      <c r="H6" s="111"/>
      <c r="I6" s="112"/>
      <c r="J6" s="112">
        <f>J7</f>
        <v>7000000</v>
      </c>
      <c r="K6" s="113">
        <f t="shared" ref="K6:K9" si="0">SUM(G6:J6)</f>
        <v>7000000</v>
      </c>
    </row>
    <row r="7" spans="1:14">
      <c r="A7" s="114"/>
      <c r="B7" s="115" t="s">
        <v>137</v>
      </c>
      <c r="C7" s="230"/>
      <c r="D7" s="231"/>
      <c r="E7" s="232"/>
      <c r="F7" s="233"/>
      <c r="G7" s="234"/>
      <c r="H7" s="235"/>
      <c r="I7" s="236"/>
      <c r="J7" s="236">
        <f>SUM(J8:J9)</f>
        <v>7000000</v>
      </c>
      <c r="K7" s="237">
        <f t="shared" si="0"/>
        <v>7000000</v>
      </c>
    </row>
    <row r="8" spans="1:14">
      <c r="A8" s="114"/>
      <c r="B8" s="116"/>
      <c r="C8" s="238" t="s">
        <v>138</v>
      </c>
      <c r="D8" s="231"/>
      <c r="E8" s="232"/>
      <c r="F8" s="233"/>
      <c r="G8" s="234"/>
      <c r="H8" s="235"/>
      <c r="I8" s="236"/>
      <c r="J8" s="236">
        <v>5000000</v>
      </c>
      <c r="K8" s="237">
        <f t="shared" si="0"/>
        <v>5000000</v>
      </c>
    </row>
    <row r="9" spans="1:14" ht="14.25" thickBot="1">
      <c r="A9" s="114"/>
      <c r="B9" s="211"/>
      <c r="C9" s="239" t="s">
        <v>139</v>
      </c>
      <c r="D9" s="240"/>
      <c r="E9" s="241"/>
      <c r="F9" s="242"/>
      <c r="G9" s="243"/>
      <c r="H9" s="244"/>
      <c r="I9" s="245"/>
      <c r="J9" s="245">
        <v>2000000</v>
      </c>
      <c r="K9" s="246">
        <f t="shared" si="0"/>
        <v>2000000</v>
      </c>
    </row>
    <row r="10" spans="1:14" ht="14.25" thickBot="1">
      <c r="A10" s="117" t="s">
        <v>206</v>
      </c>
      <c r="B10" s="58"/>
      <c r="C10" s="58" t="s">
        <v>42</v>
      </c>
      <c r="D10" s="118"/>
      <c r="E10" s="119"/>
      <c r="F10" s="120"/>
      <c r="G10" s="121">
        <f>G11</f>
        <v>1619187760</v>
      </c>
      <c r="H10" s="122"/>
      <c r="I10" s="122"/>
      <c r="J10" s="122"/>
      <c r="K10" s="123">
        <f>SUM(G10:J10)</f>
        <v>1619187760</v>
      </c>
      <c r="L10" s="71"/>
    </row>
    <row r="11" spans="1:14" ht="14.25" thickBot="1">
      <c r="A11" s="59"/>
      <c r="B11" s="54" t="s">
        <v>206</v>
      </c>
      <c r="C11" s="124"/>
      <c r="D11" s="55"/>
      <c r="E11" s="56"/>
      <c r="F11" s="57"/>
      <c r="G11" s="125">
        <f>SUM(G12,G106,G108,G112,G114,G144)</f>
        <v>1619187760</v>
      </c>
      <c r="H11" s="126"/>
      <c r="I11" s="126"/>
      <c r="J11" s="126"/>
      <c r="K11" s="127">
        <f>SUM(G11:J11)</f>
        <v>1619187760</v>
      </c>
    </row>
    <row r="12" spans="1:14" ht="14.25" thickBot="1">
      <c r="A12" s="59"/>
      <c r="B12" s="59"/>
      <c r="C12" s="128" t="s">
        <v>43</v>
      </c>
      <c r="D12" s="1651" t="s">
        <v>44</v>
      </c>
      <c r="E12" s="1652"/>
      <c r="F12" s="1653"/>
      <c r="G12" s="129">
        <f>G13+G84+G101</f>
        <v>782909000</v>
      </c>
      <c r="H12" s="130"/>
      <c r="I12" s="130"/>
      <c r="J12" s="130"/>
      <c r="K12" s="131">
        <f>SUM(G12:J12)</f>
        <v>782909000</v>
      </c>
    </row>
    <row r="13" spans="1:14" ht="14.25" thickBot="1">
      <c r="A13" s="59"/>
      <c r="B13" s="59"/>
      <c r="C13" s="132"/>
      <c r="D13" s="209" t="s">
        <v>159</v>
      </c>
      <c r="E13" s="210"/>
      <c r="F13" s="217"/>
      <c r="G13" s="44">
        <f>G14+G31</f>
        <v>663568040</v>
      </c>
      <c r="H13" s="85"/>
      <c r="I13" s="85"/>
      <c r="J13" s="85"/>
      <c r="K13" s="44">
        <f>K14+K31</f>
        <v>663568040</v>
      </c>
    </row>
    <row r="14" spans="1:14" ht="14.25" thickBot="1">
      <c r="A14" s="59"/>
      <c r="B14" s="59"/>
      <c r="C14" s="133"/>
      <c r="D14" s="49" t="s">
        <v>3</v>
      </c>
      <c r="E14" s="50"/>
      <c r="F14" s="51"/>
      <c r="G14" s="44">
        <f>SUM(G15:G30)</f>
        <v>525527000</v>
      </c>
      <c r="H14" s="85"/>
      <c r="I14" s="85"/>
      <c r="J14" s="85"/>
      <c r="K14" s="134">
        <f>SUM(K15:K30)</f>
        <v>525527000</v>
      </c>
    </row>
    <row r="15" spans="1:14" ht="24.95" customHeight="1">
      <c r="A15" s="59"/>
      <c r="B15" s="59"/>
      <c r="C15" s="133"/>
      <c r="D15" s="60" t="s">
        <v>11</v>
      </c>
      <c r="E15" s="61" t="s">
        <v>45</v>
      </c>
      <c r="F15" s="62" t="s">
        <v>46</v>
      </c>
      <c r="G15" s="63">
        <v>59036000</v>
      </c>
      <c r="H15" s="64"/>
      <c r="I15" s="64"/>
      <c r="J15" s="64"/>
      <c r="K15" s="135">
        <f>SUM(G15:J15)</f>
        <v>59036000</v>
      </c>
    </row>
    <row r="16" spans="1:14" ht="24.95" customHeight="1">
      <c r="A16" s="59"/>
      <c r="B16" s="59"/>
      <c r="C16" s="133"/>
      <c r="D16" s="65" t="s">
        <v>12</v>
      </c>
      <c r="E16" s="66" t="s">
        <v>47</v>
      </c>
      <c r="F16" s="67" t="s">
        <v>48</v>
      </c>
      <c r="G16" s="68">
        <v>51276000</v>
      </c>
      <c r="H16" s="69"/>
      <c r="I16" s="69"/>
      <c r="J16" s="69"/>
      <c r="K16" s="136">
        <f t="shared" ref="K16:K30" si="1">SUM(G16:J16)</f>
        <v>51276000</v>
      </c>
      <c r="N16" s="71"/>
    </row>
    <row r="17" spans="1:14" ht="24.95" customHeight="1">
      <c r="A17" s="59"/>
      <c r="B17" s="59"/>
      <c r="C17" s="133"/>
      <c r="D17" s="65" t="s">
        <v>13</v>
      </c>
      <c r="E17" s="70" t="s">
        <v>49</v>
      </c>
      <c r="F17" s="67" t="s">
        <v>50</v>
      </c>
      <c r="G17" s="68">
        <v>44544000</v>
      </c>
      <c r="H17" s="69"/>
      <c r="I17" s="69"/>
      <c r="J17" s="69"/>
      <c r="K17" s="136">
        <f t="shared" si="1"/>
        <v>44544000</v>
      </c>
      <c r="M17" s="137"/>
    </row>
    <row r="18" spans="1:14" ht="24.95" customHeight="1">
      <c r="A18" s="59"/>
      <c r="B18" s="59"/>
      <c r="C18" s="133"/>
      <c r="D18" s="65" t="s">
        <v>14</v>
      </c>
      <c r="E18" s="70" t="s">
        <v>51</v>
      </c>
      <c r="F18" s="67" t="s">
        <v>52</v>
      </c>
      <c r="G18" s="68">
        <v>41480000</v>
      </c>
      <c r="H18" s="69"/>
      <c r="I18" s="69"/>
      <c r="J18" s="69"/>
      <c r="K18" s="136">
        <f t="shared" si="1"/>
        <v>41480000</v>
      </c>
    </row>
    <row r="19" spans="1:14" ht="24.95" customHeight="1">
      <c r="A19" s="59"/>
      <c r="B19" s="59"/>
      <c r="C19" s="133"/>
      <c r="D19" s="65" t="s">
        <v>15</v>
      </c>
      <c r="E19" s="70" t="s">
        <v>53</v>
      </c>
      <c r="F19" s="67" t="s">
        <v>54</v>
      </c>
      <c r="G19" s="68">
        <v>41927000</v>
      </c>
      <c r="H19" s="69"/>
      <c r="I19" s="69"/>
      <c r="J19" s="69"/>
      <c r="K19" s="136">
        <f t="shared" si="1"/>
        <v>41927000</v>
      </c>
      <c r="N19" s="71"/>
    </row>
    <row r="20" spans="1:14" ht="24.95" customHeight="1">
      <c r="A20" s="59"/>
      <c r="B20" s="59"/>
      <c r="C20" s="133"/>
      <c r="D20" s="65" t="s">
        <v>28</v>
      </c>
      <c r="E20" s="70" t="s">
        <v>55</v>
      </c>
      <c r="F20" s="67" t="s">
        <v>56</v>
      </c>
      <c r="G20" s="68">
        <v>28452000</v>
      </c>
      <c r="H20" s="69"/>
      <c r="I20" s="69"/>
      <c r="J20" s="69"/>
      <c r="K20" s="136">
        <f t="shared" si="1"/>
        <v>28452000</v>
      </c>
    </row>
    <row r="21" spans="1:14" ht="24.95" customHeight="1">
      <c r="A21" s="59"/>
      <c r="B21" s="59"/>
      <c r="C21" s="133"/>
      <c r="D21" s="65" t="s">
        <v>16</v>
      </c>
      <c r="E21" s="74">
        <v>2255000</v>
      </c>
      <c r="F21" s="67" t="s">
        <v>57</v>
      </c>
      <c r="G21" s="68">
        <v>28596000</v>
      </c>
      <c r="H21" s="69"/>
      <c r="I21" s="69"/>
      <c r="J21" s="69"/>
      <c r="K21" s="136">
        <f t="shared" si="1"/>
        <v>28596000</v>
      </c>
    </row>
    <row r="22" spans="1:14" ht="24.95" customHeight="1">
      <c r="A22" s="59"/>
      <c r="B22" s="59"/>
      <c r="C22" s="133"/>
      <c r="D22" s="75" t="s">
        <v>20</v>
      </c>
      <c r="E22" s="70" t="s">
        <v>58</v>
      </c>
      <c r="F22" s="67" t="s">
        <v>59</v>
      </c>
      <c r="G22" s="68">
        <v>30184000</v>
      </c>
      <c r="H22" s="69"/>
      <c r="I22" s="69"/>
      <c r="J22" s="69"/>
      <c r="K22" s="136">
        <f t="shared" si="1"/>
        <v>30184000</v>
      </c>
      <c r="M22" s="71"/>
    </row>
    <row r="23" spans="1:14" ht="24.95" customHeight="1">
      <c r="A23" s="59"/>
      <c r="B23" s="59"/>
      <c r="C23" s="133"/>
      <c r="D23" s="65" t="s">
        <v>17</v>
      </c>
      <c r="E23" s="74" t="s">
        <v>60</v>
      </c>
      <c r="F23" s="67" t="s">
        <v>61</v>
      </c>
      <c r="G23" s="68">
        <v>24621000</v>
      </c>
      <c r="H23" s="69"/>
      <c r="I23" s="69"/>
      <c r="J23" s="69"/>
      <c r="K23" s="136">
        <f t="shared" si="1"/>
        <v>24621000</v>
      </c>
      <c r="N23" s="71"/>
    </row>
    <row r="24" spans="1:14" ht="24.95" customHeight="1">
      <c r="A24" s="59"/>
      <c r="B24" s="59"/>
      <c r="C24" s="133"/>
      <c r="D24" s="75" t="s">
        <v>19</v>
      </c>
      <c r="E24" s="74" t="s">
        <v>62</v>
      </c>
      <c r="F24" s="67" t="s">
        <v>63</v>
      </c>
      <c r="G24" s="68">
        <v>25791000</v>
      </c>
      <c r="H24" s="69"/>
      <c r="I24" s="69"/>
      <c r="J24" s="69"/>
      <c r="K24" s="136">
        <f t="shared" si="1"/>
        <v>25791000</v>
      </c>
    </row>
    <row r="25" spans="1:14" ht="24.95" customHeight="1">
      <c r="A25" s="59"/>
      <c r="B25" s="59"/>
      <c r="C25" s="133"/>
      <c r="D25" s="75" t="s">
        <v>21</v>
      </c>
      <c r="E25" s="74" t="s">
        <v>64</v>
      </c>
      <c r="F25" s="67" t="s">
        <v>65</v>
      </c>
      <c r="G25" s="68">
        <v>30087000</v>
      </c>
      <c r="H25" s="69"/>
      <c r="I25" s="69"/>
      <c r="J25" s="69"/>
      <c r="K25" s="136">
        <f t="shared" si="1"/>
        <v>30087000</v>
      </c>
    </row>
    <row r="26" spans="1:14" ht="24.95" customHeight="1">
      <c r="A26" s="59"/>
      <c r="B26" s="59"/>
      <c r="C26" s="133"/>
      <c r="D26" s="65" t="s">
        <v>22</v>
      </c>
      <c r="E26" s="74">
        <v>2569000</v>
      </c>
      <c r="F26" s="67" t="s">
        <v>66</v>
      </c>
      <c r="G26" s="68">
        <v>32088000</v>
      </c>
      <c r="H26" s="69"/>
      <c r="I26" s="69"/>
      <c r="J26" s="69"/>
      <c r="K26" s="136">
        <f>G26</f>
        <v>32088000</v>
      </c>
    </row>
    <row r="27" spans="1:14" ht="24.95" customHeight="1">
      <c r="A27" s="59"/>
      <c r="B27" s="59"/>
      <c r="C27" s="133"/>
      <c r="D27" s="65" t="s">
        <v>23</v>
      </c>
      <c r="E27" s="74" t="s">
        <v>64</v>
      </c>
      <c r="F27" s="67" t="s">
        <v>67</v>
      </c>
      <c r="G27" s="68">
        <v>29688000</v>
      </c>
      <c r="H27" s="69"/>
      <c r="I27" s="69"/>
      <c r="J27" s="69"/>
      <c r="K27" s="136">
        <f>G27</f>
        <v>29688000</v>
      </c>
    </row>
    <row r="28" spans="1:14" ht="24.95" customHeight="1">
      <c r="A28" s="59"/>
      <c r="B28" s="59"/>
      <c r="C28" s="133"/>
      <c r="D28" s="65" t="s">
        <v>24</v>
      </c>
      <c r="E28" s="74" t="s">
        <v>68</v>
      </c>
      <c r="F28" s="67" t="s">
        <v>69</v>
      </c>
      <c r="G28" s="68">
        <v>29772000</v>
      </c>
      <c r="H28" s="69"/>
      <c r="I28" s="69"/>
      <c r="J28" s="69"/>
      <c r="K28" s="136">
        <f t="shared" si="1"/>
        <v>29772000</v>
      </c>
    </row>
    <row r="29" spans="1:14" ht="24.95" customHeight="1">
      <c r="A29" s="59"/>
      <c r="B29" s="59"/>
      <c r="C29" s="133"/>
      <c r="D29" s="65" t="s">
        <v>153</v>
      </c>
      <c r="E29" s="74" t="s">
        <v>154</v>
      </c>
      <c r="F29" s="67" t="s">
        <v>155</v>
      </c>
      <c r="G29" s="68">
        <v>25782000</v>
      </c>
      <c r="H29" s="69"/>
      <c r="I29" s="69"/>
      <c r="J29" s="69"/>
      <c r="K29" s="136">
        <f t="shared" si="1"/>
        <v>25782000</v>
      </c>
    </row>
    <row r="30" spans="1:14" ht="24.95" customHeight="1" thickBot="1">
      <c r="A30" s="59"/>
      <c r="B30" s="59"/>
      <c r="C30" s="133"/>
      <c r="D30" s="77" t="s">
        <v>18</v>
      </c>
      <c r="E30" s="190">
        <v>2203000</v>
      </c>
      <c r="F30" s="78" t="s">
        <v>219</v>
      </c>
      <c r="G30" s="79">
        <v>2203000</v>
      </c>
      <c r="H30" s="76"/>
      <c r="I30" s="76"/>
      <c r="J30" s="76"/>
      <c r="K30" s="138">
        <f t="shared" si="1"/>
        <v>2203000</v>
      </c>
    </row>
    <row r="31" spans="1:14" ht="14.25" thickBot="1">
      <c r="A31" s="59"/>
      <c r="B31" s="59"/>
      <c r="C31" s="93"/>
      <c r="D31" s="80" t="s">
        <v>160</v>
      </c>
      <c r="E31" s="218"/>
      <c r="F31" s="139"/>
      <c r="G31" s="44">
        <f>G32+G34+G50+G63+G79+G81</f>
        <v>138041040</v>
      </c>
      <c r="H31" s="91"/>
      <c r="I31" s="91"/>
      <c r="J31" s="91"/>
      <c r="K31" s="44">
        <f>K32+K34+K50+K63+K79+K81</f>
        <v>138041040</v>
      </c>
    </row>
    <row r="32" spans="1:14" ht="14.25" thickBot="1">
      <c r="A32" s="59"/>
      <c r="B32" s="59"/>
      <c r="C32" s="93"/>
      <c r="D32" s="49" t="s">
        <v>4</v>
      </c>
      <c r="E32" s="50"/>
      <c r="F32" s="51"/>
      <c r="G32" s="44">
        <f>G33</f>
        <v>18000000</v>
      </c>
      <c r="H32" s="85"/>
      <c r="I32" s="85"/>
      <c r="J32" s="85"/>
      <c r="K32" s="86">
        <f>SUM(K33)</f>
        <v>18000000</v>
      </c>
    </row>
    <row r="33" spans="1:13" ht="24.95" customHeight="1" thickBot="1">
      <c r="A33" s="59"/>
      <c r="B33" s="59"/>
      <c r="C33" s="133"/>
      <c r="D33" s="35" t="s">
        <v>70</v>
      </c>
      <c r="E33" s="215"/>
      <c r="F33" s="216"/>
      <c r="G33" s="37">
        <v>18000000</v>
      </c>
      <c r="H33" s="48"/>
      <c r="I33" s="48"/>
      <c r="J33" s="48"/>
      <c r="K33" s="42">
        <f>SUM(G33:J33)</f>
        <v>18000000</v>
      </c>
    </row>
    <row r="34" spans="1:13" ht="14.25" thickBot="1">
      <c r="A34" s="59"/>
      <c r="B34" s="59"/>
      <c r="C34" s="133"/>
      <c r="D34" s="49" t="s">
        <v>6</v>
      </c>
      <c r="E34" s="50"/>
      <c r="F34" s="51"/>
      <c r="G34" s="38">
        <f>SUM(G35:G49)</f>
        <v>52027840</v>
      </c>
      <c r="H34" s="85"/>
      <c r="I34" s="85"/>
      <c r="J34" s="85"/>
      <c r="K34" s="134">
        <f>SUM(K35:K49)</f>
        <v>52027840</v>
      </c>
    </row>
    <row r="35" spans="1:13" ht="22.5">
      <c r="A35" s="59"/>
      <c r="B35" s="59"/>
      <c r="C35" s="133"/>
      <c r="D35" s="65" t="s">
        <v>12</v>
      </c>
      <c r="E35" s="66" t="s">
        <v>47</v>
      </c>
      <c r="F35" s="81" t="s">
        <v>71</v>
      </c>
      <c r="G35" s="63">
        <v>5649300</v>
      </c>
      <c r="H35" s="64"/>
      <c r="I35" s="64"/>
      <c r="J35" s="64"/>
      <c r="K35" s="135">
        <f t="shared" ref="K35:K48" si="2">SUM(G35:J35)</f>
        <v>5649300</v>
      </c>
      <c r="M35" s="71"/>
    </row>
    <row r="36" spans="1:13" ht="24.95" customHeight="1">
      <c r="A36" s="59"/>
      <c r="B36" s="59"/>
      <c r="C36" s="133"/>
      <c r="D36" s="65" t="s">
        <v>13</v>
      </c>
      <c r="E36" s="70" t="s">
        <v>49</v>
      </c>
      <c r="F36" s="82" t="s">
        <v>72</v>
      </c>
      <c r="G36" s="68">
        <v>4924500</v>
      </c>
      <c r="H36" s="69"/>
      <c r="I36" s="69"/>
      <c r="J36" s="69"/>
      <c r="K36" s="136">
        <f t="shared" si="2"/>
        <v>4924500</v>
      </c>
    </row>
    <row r="37" spans="1:13" ht="24.95" customHeight="1">
      <c r="A37" s="59"/>
      <c r="B37" s="59"/>
      <c r="C37" s="133"/>
      <c r="D37" s="65" t="s">
        <v>143</v>
      </c>
      <c r="E37" s="70" t="s">
        <v>51</v>
      </c>
      <c r="F37" s="82" t="s">
        <v>73</v>
      </c>
      <c r="G37" s="68">
        <v>4594640</v>
      </c>
      <c r="H37" s="69"/>
      <c r="I37" s="69"/>
      <c r="J37" s="69"/>
      <c r="K37" s="136">
        <f t="shared" si="2"/>
        <v>4594640</v>
      </c>
    </row>
    <row r="38" spans="1:13" ht="24.95" customHeight="1">
      <c r="A38" s="59"/>
      <c r="B38" s="59"/>
      <c r="C38" s="133"/>
      <c r="D38" s="65" t="s">
        <v>144</v>
      </c>
      <c r="E38" s="70" t="s">
        <v>53</v>
      </c>
      <c r="F38" s="82" t="s">
        <v>74</v>
      </c>
      <c r="G38" s="68">
        <v>4642770</v>
      </c>
      <c r="H38" s="69"/>
      <c r="I38" s="69"/>
      <c r="J38" s="69"/>
      <c r="K38" s="136">
        <f t="shared" si="2"/>
        <v>4642770</v>
      </c>
    </row>
    <row r="39" spans="1:13" ht="24.95" customHeight="1">
      <c r="A39" s="59"/>
      <c r="B39" s="59"/>
      <c r="C39" s="133"/>
      <c r="D39" s="65" t="s">
        <v>27</v>
      </c>
      <c r="E39" s="70" t="s">
        <v>55</v>
      </c>
      <c r="F39" s="82" t="s">
        <v>75</v>
      </c>
      <c r="G39" s="68">
        <v>3192100</v>
      </c>
      <c r="H39" s="69"/>
      <c r="I39" s="69"/>
      <c r="J39" s="69"/>
      <c r="K39" s="136">
        <f t="shared" si="2"/>
        <v>3192100</v>
      </c>
    </row>
    <row r="40" spans="1:13">
      <c r="A40" s="59"/>
      <c r="B40" s="59"/>
      <c r="C40" s="133"/>
      <c r="D40" s="65" t="s">
        <v>145</v>
      </c>
      <c r="E40" s="74">
        <v>2255000</v>
      </c>
      <c r="F40" s="82" t="s">
        <v>76</v>
      </c>
      <c r="G40" s="68">
        <v>3207600</v>
      </c>
      <c r="H40" s="69"/>
      <c r="I40" s="69"/>
      <c r="J40" s="69"/>
      <c r="K40" s="136">
        <f t="shared" si="2"/>
        <v>3207600</v>
      </c>
    </row>
    <row r="41" spans="1:13" ht="24.95" customHeight="1">
      <c r="A41" s="59"/>
      <c r="B41" s="59"/>
      <c r="C41" s="133"/>
      <c r="D41" s="75" t="s">
        <v>146</v>
      </c>
      <c r="E41" s="70" t="s">
        <v>58</v>
      </c>
      <c r="F41" s="82" t="s">
        <v>77</v>
      </c>
      <c r="G41" s="68">
        <v>3378600</v>
      </c>
      <c r="H41" s="69"/>
      <c r="I41" s="69"/>
      <c r="J41" s="69"/>
      <c r="K41" s="136">
        <f t="shared" si="2"/>
        <v>3378600</v>
      </c>
    </row>
    <row r="42" spans="1:13" ht="24.95" customHeight="1">
      <c r="A42" s="59"/>
      <c r="B42" s="59"/>
      <c r="C42" s="133"/>
      <c r="D42" s="65" t="s">
        <v>147</v>
      </c>
      <c r="E42" s="74" t="s">
        <v>60</v>
      </c>
      <c r="F42" s="82" t="s">
        <v>78</v>
      </c>
      <c r="G42" s="68">
        <v>2768950</v>
      </c>
      <c r="H42" s="69"/>
      <c r="I42" s="69"/>
      <c r="J42" s="69"/>
      <c r="K42" s="136">
        <f t="shared" si="2"/>
        <v>2768950</v>
      </c>
    </row>
    <row r="43" spans="1:13" ht="24.95" customHeight="1">
      <c r="A43" s="59"/>
      <c r="B43" s="59"/>
      <c r="C43" s="133"/>
      <c r="D43" s="75" t="s">
        <v>148</v>
      </c>
      <c r="E43" s="74" t="s">
        <v>62</v>
      </c>
      <c r="F43" s="82" t="s">
        <v>79</v>
      </c>
      <c r="G43" s="68">
        <v>2905620</v>
      </c>
      <c r="H43" s="69"/>
      <c r="I43" s="69"/>
      <c r="J43" s="69"/>
      <c r="K43" s="136">
        <f t="shared" si="2"/>
        <v>2905620</v>
      </c>
    </row>
    <row r="44" spans="1:13" ht="24.95" customHeight="1">
      <c r="A44" s="59"/>
      <c r="B44" s="59"/>
      <c r="C44" s="133"/>
      <c r="D44" s="75" t="s">
        <v>149</v>
      </c>
      <c r="E44" s="74" t="s">
        <v>64</v>
      </c>
      <c r="F44" s="82" t="s">
        <v>80</v>
      </c>
      <c r="G44" s="68">
        <v>3368160</v>
      </c>
      <c r="H44" s="69"/>
      <c r="I44" s="69"/>
      <c r="J44" s="69"/>
      <c r="K44" s="136">
        <f t="shared" si="2"/>
        <v>3368160</v>
      </c>
    </row>
    <row r="45" spans="1:13">
      <c r="A45" s="59"/>
      <c r="B45" s="59"/>
      <c r="C45" s="133"/>
      <c r="D45" s="65" t="s">
        <v>150</v>
      </c>
      <c r="E45" s="74">
        <v>2569000</v>
      </c>
      <c r="F45" s="82" t="s">
        <v>81</v>
      </c>
      <c r="G45" s="68">
        <v>3583560</v>
      </c>
      <c r="H45" s="69"/>
      <c r="I45" s="69"/>
      <c r="J45" s="69"/>
      <c r="K45" s="136">
        <f t="shared" si="2"/>
        <v>3583560</v>
      </c>
    </row>
    <row r="46" spans="1:13" ht="24.95" customHeight="1">
      <c r="A46" s="59"/>
      <c r="B46" s="59"/>
      <c r="C46" s="133"/>
      <c r="D46" s="65" t="s">
        <v>151</v>
      </c>
      <c r="E46" s="74" t="s">
        <v>64</v>
      </c>
      <c r="F46" s="82" t="s">
        <v>82</v>
      </c>
      <c r="G46" s="68">
        <v>3325210</v>
      </c>
      <c r="H46" s="69"/>
      <c r="I46" s="69"/>
      <c r="J46" s="69"/>
      <c r="K46" s="136">
        <f t="shared" si="2"/>
        <v>3325210</v>
      </c>
    </row>
    <row r="47" spans="1:13" ht="24.95" customHeight="1">
      <c r="A47" s="59"/>
      <c r="B47" s="59"/>
      <c r="C47" s="133"/>
      <c r="D47" s="65" t="s">
        <v>152</v>
      </c>
      <c r="E47" s="74" t="s">
        <v>68</v>
      </c>
      <c r="F47" s="82" t="s">
        <v>83</v>
      </c>
      <c r="G47" s="68">
        <v>3334200</v>
      </c>
      <c r="H47" s="69"/>
      <c r="I47" s="69"/>
      <c r="J47" s="69"/>
      <c r="K47" s="136">
        <f t="shared" si="2"/>
        <v>3334200</v>
      </c>
    </row>
    <row r="48" spans="1:13" ht="24.95" customHeight="1">
      <c r="A48" s="59"/>
      <c r="B48" s="59"/>
      <c r="C48" s="133"/>
      <c r="D48" s="65" t="s">
        <v>153</v>
      </c>
      <c r="E48" s="74" t="s">
        <v>154</v>
      </c>
      <c r="F48" s="82" t="s">
        <v>156</v>
      </c>
      <c r="G48" s="68">
        <v>2904700</v>
      </c>
      <c r="H48" s="76"/>
      <c r="I48" s="76"/>
      <c r="J48" s="76"/>
      <c r="K48" s="136">
        <f t="shared" si="2"/>
        <v>2904700</v>
      </c>
    </row>
    <row r="49" spans="1:11" ht="14.25" thickBot="1">
      <c r="A49" s="59"/>
      <c r="B49" s="59"/>
      <c r="C49" s="133"/>
      <c r="D49" s="65" t="s">
        <v>18</v>
      </c>
      <c r="E49" s="74">
        <v>2203000</v>
      </c>
      <c r="F49" s="82" t="s">
        <v>220</v>
      </c>
      <c r="G49" s="68">
        <v>247930</v>
      </c>
      <c r="H49" s="76"/>
      <c r="I49" s="76"/>
      <c r="J49" s="76"/>
      <c r="K49" s="138">
        <f>SUM(G49:J49)</f>
        <v>247930</v>
      </c>
    </row>
    <row r="50" spans="1:11" ht="14.25" thickBot="1">
      <c r="A50" s="59"/>
      <c r="B50" s="59"/>
      <c r="C50" s="133"/>
      <c r="D50" s="49" t="s">
        <v>5</v>
      </c>
      <c r="E50" s="50"/>
      <c r="F50" s="51"/>
      <c r="G50" s="44">
        <f>SUM(G51:G62)</f>
        <v>8820000</v>
      </c>
      <c r="H50" s="85"/>
      <c r="I50" s="85"/>
      <c r="J50" s="85"/>
      <c r="K50" s="134">
        <f>SUM(K51:K62)</f>
        <v>8820000</v>
      </c>
    </row>
    <row r="51" spans="1:11">
      <c r="A51" s="59"/>
      <c r="B51" s="59"/>
      <c r="C51" s="133"/>
      <c r="D51" s="60" t="s">
        <v>11</v>
      </c>
      <c r="E51" s="1630" t="s">
        <v>84</v>
      </c>
      <c r="F51" s="1630"/>
      <c r="G51" s="63">
        <v>480000</v>
      </c>
      <c r="H51" s="64"/>
      <c r="I51" s="64"/>
      <c r="J51" s="64"/>
      <c r="K51" s="135">
        <f>SUM(G51:J51)</f>
        <v>480000</v>
      </c>
    </row>
    <row r="52" spans="1:11">
      <c r="A52" s="59"/>
      <c r="B52" s="59"/>
      <c r="C52" s="133"/>
      <c r="D52" s="65" t="s">
        <v>12</v>
      </c>
      <c r="E52" s="1630" t="s">
        <v>84</v>
      </c>
      <c r="F52" s="1630"/>
      <c r="G52" s="68">
        <v>480000</v>
      </c>
      <c r="H52" s="69"/>
      <c r="I52" s="69"/>
      <c r="J52" s="69"/>
      <c r="K52" s="136">
        <f t="shared" ref="K52:K62" si="3">SUM(G52:J52)</f>
        <v>480000</v>
      </c>
    </row>
    <row r="53" spans="1:11" ht="24" customHeight="1">
      <c r="A53" s="59"/>
      <c r="B53" s="59"/>
      <c r="C53" s="133"/>
      <c r="D53" s="65" t="s">
        <v>13</v>
      </c>
      <c r="E53" s="1630" t="s">
        <v>85</v>
      </c>
      <c r="F53" s="1630"/>
      <c r="G53" s="68">
        <v>720000</v>
      </c>
      <c r="H53" s="69"/>
      <c r="I53" s="69"/>
      <c r="J53" s="69"/>
      <c r="K53" s="136">
        <f t="shared" si="3"/>
        <v>720000</v>
      </c>
    </row>
    <row r="54" spans="1:11" ht="24" customHeight="1">
      <c r="A54" s="59"/>
      <c r="B54" s="59"/>
      <c r="C54" s="133"/>
      <c r="D54" s="65" t="s">
        <v>14</v>
      </c>
      <c r="E54" s="1655" t="s">
        <v>85</v>
      </c>
      <c r="F54" s="1655"/>
      <c r="G54" s="68">
        <v>960000</v>
      </c>
      <c r="H54" s="69"/>
      <c r="I54" s="69"/>
      <c r="J54" s="69"/>
      <c r="K54" s="136">
        <f t="shared" si="3"/>
        <v>960000</v>
      </c>
    </row>
    <row r="55" spans="1:11" ht="27" customHeight="1">
      <c r="A55" s="59"/>
      <c r="B55" s="59"/>
      <c r="C55" s="133"/>
      <c r="D55" s="65" t="s">
        <v>15</v>
      </c>
      <c r="E55" s="1630" t="s">
        <v>85</v>
      </c>
      <c r="F55" s="1630"/>
      <c r="G55" s="68">
        <v>720000</v>
      </c>
      <c r="H55" s="69"/>
      <c r="I55" s="69"/>
      <c r="J55" s="69"/>
      <c r="K55" s="136">
        <f t="shared" si="3"/>
        <v>720000</v>
      </c>
    </row>
    <row r="56" spans="1:11">
      <c r="A56" s="59"/>
      <c r="B56" s="59"/>
      <c r="C56" s="133"/>
      <c r="D56" s="65" t="s">
        <v>28</v>
      </c>
      <c r="E56" s="1655" t="s">
        <v>84</v>
      </c>
      <c r="F56" s="1656"/>
      <c r="G56" s="68">
        <v>480000</v>
      </c>
      <c r="H56" s="69"/>
      <c r="I56" s="69"/>
      <c r="J56" s="69"/>
      <c r="K56" s="136">
        <f t="shared" si="3"/>
        <v>480000</v>
      </c>
    </row>
    <row r="57" spans="1:11" ht="35.25" customHeight="1">
      <c r="A57" s="59"/>
      <c r="B57" s="59"/>
      <c r="C57" s="133"/>
      <c r="D57" s="65" t="s">
        <v>16</v>
      </c>
      <c r="E57" s="1655" t="s">
        <v>86</v>
      </c>
      <c r="F57" s="1655"/>
      <c r="G57" s="68">
        <v>1920000</v>
      </c>
      <c r="H57" s="69"/>
      <c r="I57" s="69"/>
      <c r="J57" s="69"/>
      <c r="K57" s="136">
        <f t="shared" si="3"/>
        <v>1920000</v>
      </c>
    </row>
    <row r="58" spans="1:11" ht="30" customHeight="1">
      <c r="A58" s="59"/>
      <c r="B58" s="59"/>
      <c r="C58" s="133"/>
      <c r="D58" s="65" t="s">
        <v>17</v>
      </c>
      <c r="E58" s="1655" t="s">
        <v>85</v>
      </c>
      <c r="F58" s="1655"/>
      <c r="G58" s="68">
        <v>660000</v>
      </c>
      <c r="H58" s="69"/>
      <c r="I58" s="69"/>
      <c r="J58" s="69"/>
      <c r="K58" s="136">
        <f t="shared" si="3"/>
        <v>660000</v>
      </c>
    </row>
    <row r="59" spans="1:11">
      <c r="A59" s="59"/>
      <c r="B59" s="59"/>
      <c r="C59" s="133"/>
      <c r="D59" s="65" t="s">
        <v>19</v>
      </c>
      <c r="E59" s="1655" t="s">
        <v>87</v>
      </c>
      <c r="F59" s="1655"/>
      <c r="G59" s="68">
        <v>960000</v>
      </c>
      <c r="H59" s="69"/>
      <c r="I59" s="69"/>
      <c r="J59" s="69"/>
      <c r="K59" s="136">
        <f t="shared" si="3"/>
        <v>960000</v>
      </c>
    </row>
    <row r="60" spans="1:11" ht="30.75" customHeight="1">
      <c r="A60" s="59"/>
      <c r="B60" s="59"/>
      <c r="C60" s="133"/>
      <c r="D60" s="65" t="s">
        <v>21</v>
      </c>
      <c r="E60" s="1630" t="s">
        <v>85</v>
      </c>
      <c r="F60" s="1630"/>
      <c r="G60" s="68">
        <v>720000</v>
      </c>
      <c r="H60" s="69"/>
      <c r="I60" s="69"/>
      <c r="J60" s="69"/>
      <c r="K60" s="136">
        <f t="shared" si="3"/>
        <v>720000</v>
      </c>
    </row>
    <row r="61" spans="1:11">
      <c r="A61" s="59"/>
      <c r="B61" s="59"/>
      <c r="C61" s="133"/>
      <c r="D61" s="65" t="s">
        <v>22</v>
      </c>
      <c r="E61" s="1630" t="s">
        <v>88</v>
      </c>
      <c r="F61" s="1630"/>
      <c r="G61" s="68">
        <v>240000</v>
      </c>
      <c r="H61" s="69"/>
      <c r="I61" s="69"/>
      <c r="J61" s="69"/>
      <c r="K61" s="136">
        <f t="shared" si="3"/>
        <v>240000</v>
      </c>
    </row>
    <row r="62" spans="1:11" ht="14.25" thickBot="1">
      <c r="A62" s="59"/>
      <c r="B62" s="59"/>
      <c r="C62" s="133"/>
      <c r="D62" s="65" t="s">
        <v>24</v>
      </c>
      <c r="E62" s="1657" t="s">
        <v>89</v>
      </c>
      <c r="F62" s="1657"/>
      <c r="G62" s="68">
        <v>480000</v>
      </c>
      <c r="H62" s="69"/>
      <c r="I62" s="69"/>
      <c r="J62" s="69"/>
      <c r="K62" s="136">
        <f t="shared" si="3"/>
        <v>480000</v>
      </c>
    </row>
    <row r="63" spans="1:11" ht="13.5" customHeight="1" thickBot="1">
      <c r="A63" s="59"/>
      <c r="B63" s="59"/>
      <c r="C63" s="133"/>
      <c r="D63" s="49" t="s">
        <v>7</v>
      </c>
      <c r="E63" s="50"/>
      <c r="F63" s="51"/>
      <c r="G63" s="44">
        <f>SUM(G64:G78)</f>
        <v>52483200</v>
      </c>
      <c r="H63" s="85"/>
      <c r="I63" s="85"/>
      <c r="J63" s="85"/>
      <c r="K63" s="134">
        <f>SUM(K64:K78)</f>
        <v>52483200</v>
      </c>
    </row>
    <row r="64" spans="1:11" ht="24.95" customHeight="1">
      <c r="A64" s="59"/>
      <c r="B64" s="59"/>
      <c r="C64" s="133"/>
      <c r="D64" s="60" t="s">
        <v>140</v>
      </c>
      <c r="E64" s="83">
        <v>4697000</v>
      </c>
      <c r="F64" s="82" t="s">
        <v>90</v>
      </c>
      <c r="G64" s="63">
        <v>5895600</v>
      </c>
      <c r="H64" s="64"/>
      <c r="I64" s="64"/>
      <c r="J64" s="64"/>
      <c r="K64" s="135">
        <f>SUM(G64:J64)</f>
        <v>5895600</v>
      </c>
    </row>
    <row r="65" spans="1:13" ht="24.95" customHeight="1">
      <c r="A65" s="59"/>
      <c r="B65" s="59"/>
      <c r="C65" s="133"/>
      <c r="D65" s="65" t="s">
        <v>141</v>
      </c>
      <c r="E65" s="66" t="s">
        <v>47</v>
      </c>
      <c r="F65" s="82" t="s">
        <v>91</v>
      </c>
      <c r="G65" s="68">
        <v>5127600</v>
      </c>
      <c r="H65" s="69"/>
      <c r="I65" s="69"/>
      <c r="J65" s="69"/>
      <c r="K65" s="136">
        <f t="shared" ref="K65:K78" si="4">SUM(G65:J65)</f>
        <v>5127600</v>
      </c>
    </row>
    <row r="66" spans="1:13" ht="24.95" customHeight="1">
      <c r="A66" s="59"/>
      <c r="B66" s="59"/>
      <c r="C66" s="133"/>
      <c r="D66" s="65" t="s">
        <v>142</v>
      </c>
      <c r="E66" s="70" t="s">
        <v>49</v>
      </c>
      <c r="F66" s="82" t="s">
        <v>92</v>
      </c>
      <c r="G66" s="68">
        <v>4454400</v>
      </c>
      <c r="H66" s="69"/>
      <c r="I66" s="69"/>
      <c r="J66" s="69"/>
      <c r="K66" s="136">
        <f t="shared" si="4"/>
        <v>4454400</v>
      </c>
    </row>
    <row r="67" spans="1:13" ht="24.95" customHeight="1">
      <c r="A67" s="59"/>
      <c r="B67" s="59"/>
      <c r="C67" s="133"/>
      <c r="D67" s="65" t="s">
        <v>143</v>
      </c>
      <c r="E67" s="70" t="s">
        <v>51</v>
      </c>
      <c r="F67" s="82" t="s">
        <v>93</v>
      </c>
      <c r="G67" s="68">
        <v>4157400</v>
      </c>
      <c r="H67" s="69"/>
      <c r="I67" s="69"/>
      <c r="J67" s="69"/>
      <c r="K67" s="136">
        <f t="shared" si="4"/>
        <v>4157400</v>
      </c>
    </row>
    <row r="68" spans="1:13" ht="24.95" customHeight="1">
      <c r="A68" s="59"/>
      <c r="B68" s="59"/>
      <c r="C68" s="133"/>
      <c r="D68" s="65" t="s">
        <v>144</v>
      </c>
      <c r="E68" s="74">
        <v>3403000</v>
      </c>
      <c r="F68" s="82" t="s">
        <v>94</v>
      </c>
      <c r="G68" s="68">
        <v>4185600</v>
      </c>
      <c r="H68" s="69"/>
      <c r="I68" s="69"/>
      <c r="J68" s="69"/>
      <c r="K68" s="136">
        <f t="shared" si="4"/>
        <v>4185600</v>
      </c>
    </row>
    <row r="69" spans="1:13" ht="24.95" customHeight="1">
      <c r="A69" s="59"/>
      <c r="B69" s="59"/>
      <c r="C69" s="133"/>
      <c r="D69" s="65" t="s">
        <v>27</v>
      </c>
      <c r="E69" s="70" t="s">
        <v>55</v>
      </c>
      <c r="F69" s="82" t="s">
        <v>95</v>
      </c>
      <c r="G69" s="68">
        <v>2816400</v>
      </c>
      <c r="H69" s="69"/>
      <c r="I69" s="69"/>
      <c r="J69" s="69"/>
      <c r="K69" s="136">
        <f t="shared" si="4"/>
        <v>2816400</v>
      </c>
    </row>
    <row r="70" spans="1:13" ht="24.95" customHeight="1">
      <c r="A70" s="59"/>
      <c r="B70" s="59"/>
      <c r="C70" s="133"/>
      <c r="D70" s="65" t="s">
        <v>145</v>
      </c>
      <c r="E70" s="74">
        <v>2255000</v>
      </c>
      <c r="F70" s="82" t="s">
        <v>96</v>
      </c>
      <c r="G70" s="68">
        <v>2859600</v>
      </c>
      <c r="H70" s="69"/>
      <c r="I70" s="69"/>
      <c r="J70" s="69"/>
      <c r="K70" s="136">
        <f t="shared" si="4"/>
        <v>2859600</v>
      </c>
    </row>
    <row r="71" spans="1:13" ht="24.95" customHeight="1">
      <c r="A71" s="59"/>
      <c r="B71" s="59"/>
      <c r="C71" s="133"/>
      <c r="D71" s="75" t="s">
        <v>146</v>
      </c>
      <c r="E71" s="70" t="s">
        <v>58</v>
      </c>
      <c r="F71" s="82" t="s">
        <v>97</v>
      </c>
      <c r="G71" s="68">
        <v>3004200</v>
      </c>
      <c r="H71" s="69"/>
      <c r="I71" s="69"/>
      <c r="J71" s="69"/>
      <c r="K71" s="136">
        <f t="shared" si="4"/>
        <v>3004200</v>
      </c>
    </row>
    <row r="72" spans="1:13" ht="24.95" customHeight="1">
      <c r="A72" s="59"/>
      <c r="B72" s="59"/>
      <c r="C72" s="133"/>
      <c r="D72" s="65" t="s">
        <v>147</v>
      </c>
      <c r="E72" s="74">
        <v>2081000</v>
      </c>
      <c r="F72" s="82" t="s">
        <v>98</v>
      </c>
      <c r="G72" s="68">
        <v>2677200</v>
      </c>
      <c r="H72" s="69"/>
      <c r="I72" s="69"/>
      <c r="J72" s="69"/>
      <c r="K72" s="136">
        <f t="shared" si="4"/>
        <v>2677200</v>
      </c>
      <c r="M72" s="71"/>
    </row>
    <row r="73" spans="1:13" ht="24.95" customHeight="1">
      <c r="A73" s="59"/>
      <c r="B73" s="59"/>
      <c r="C73" s="133"/>
      <c r="D73" s="75" t="s">
        <v>148</v>
      </c>
      <c r="E73" s="74">
        <v>2051000</v>
      </c>
      <c r="F73" s="82" t="s">
        <v>99</v>
      </c>
      <c r="G73" s="68">
        <v>2577600</v>
      </c>
      <c r="H73" s="69"/>
      <c r="I73" s="69"/>
      <c r="J73" s="69"/>
      <c r="K73" s="136">
        <f t="shared" si="4"/>
        <v>2577600</v>
      </c>
    </row>
    <row r="74" spans="1:13" ht="24.95" customHeight="1">
      <c r="A74" s="59"/>
      <c r="B74" s="59"/>
      <c r="C74" s="133"/>
      <c r="D74" s="75" t="s">
        <v>149</v>
      </c>
      <c r="E74" s="74" t="s">
        <v>64</v>
      </c>
      <c r="F74" s="82" t="s">
        <v>100</v>
      </c>
      <c r="G74" s="68">
        <v>3004800</v>
      </c>
      <c r="H74" s="69"/>
      <c r="I74" s="69"/>
      <c r="J74" s="69"/>
      <c r="K74" s="136">
        <f t="shared" si="4"/>
        <v>3004800</v>
      </c>
    </row>
    <row r="75" spans="1:13" ht="24.95" customHeight="1">
      <c r="A75" s="59"/>
      <c r="B75" s="59"/>
      <c r="C75" s="133"/>
      <c r="D75" s="65" t="s">
        <v>150</v>
      </c>
      <c r="E75" s="74">
        <v>2569000</v>
      </c>
      <c r="F75" s="82" t="s">
        <v>101</v>
      </c>
      <c r="G75" s="68">
        <v>3208800</v>
      </c>
      <c r="H75" s="69"/>
      <c r="I75" s="69"/>
      <c r="J75" s="69"/>
      <c r="K75" s="136">
        <f t="shared" si="4"/>
        <v>3208800</v>
      </c>
    </row>
    <row r="76" spans="1:13" ht="24.95" customHeight="1">
      <c r="A76" s="59"/>
      <c r="B76" s="59"/>
      <c r="C76" s="133"/>
      <c r="D76" s="65" t="s">
        <v>151</v>
      </c>
      <c r="E76" s="74" t="s">
        <v>64</v>
      </c>
      <c r="F76" s="82" t="s">
        <v>100</v>
      </c>
      <c r="G76" s="68">
        <v>2961600</v>
      </c>
      <c r="H76" s="69"/>
      <c r="I76" s="69"/>
      <c r="J76" s="69"/>
      <c r="K76" s="136">
        <f t="shared" si="4"/>
        <v>2961600</v>
      </c>
    </row>
    <row r="77" spans="1:13" ht="24.95" customHeight="1">
      <c r="A77" s="59"/>
      <c r="B77" s="59"/>
      <c r="C77" s="133"/>
      <c r="D77" s="65" t="s">
        <v>152</v>
      </c>
      <c r="E77" s="74" t="s">
        <v>68</v>
      </c>
      <c r="F77" s="82" t="s">
        <v>102</v>
      </c>
      <c r="G77" s="68">
        <v>2977200</v>
      </c>
      <c r="H77" s="69"/>
      <c r="I77" s="69"/>
      <c r="J77" s="69"/>
      <c r="K77" s="136">
        <f t="shared" si="4"/>
        <v>2977200</v>
      </c>
    </row>
    <row r="78" spans="1:13" ht="24.95" customHeight="1" thickBot="1">
      <c r="A78" s="59"/>
      <c r="B78" s="59"/>
      <c r="C78" s="133"/>
      <c r="D78" s="65" t="s">
        <v>153</v>
      </c>
      <c r="E78" s="74">
        <v>2146000</v>
      </c>
      <c r="F78" s="82"/>
      <c r="G78" s="68">
        <v>2575200</v>
      </c>
      <c r="H78" s="76"/>
      <c r="I78" s="76"/>
      <c r="J78" s="76"/>
      <c r="K78" s="138">
        <f t="shared" si="4"/>
        <v>2575200</v>
      </c>
    </row>
    <row r="79" spans="1:13" ht="14.25" thickBot="1">
      <c r="A79" s="59"/>
      <c r="B79" s="59"/>
      <c r="C79" s="133"/>
      <c r="D79" s="49" t="s">
        <v>8</v>
      </c>
      <c r="E79" s="50"/>
      <c r="F79" s="51"/>
      <c r="G79" s="44">
        <f>SUM(G80)</f>
        <v>2400000</v>
      </c>
      <c r="H79" s="85"/>
      <c r="I79" s="85"/>
      <c r="J79" s="85"/>
      <c r="K79" s="86">
        <f>SUM(K80)</f>
        <v>2400000</v>
      </c>
    </row>
    <row r="80" spans="1:13" ht="24.95" customHeight="1" thickBot="1">
      <c r="A80" s="59"/>
      <c r="B80" s="59"/>
      <c r="C80" s="133"/>
      <c r="D80" s="35" t="s">
        <v>10</v>
      </c>
      <c r="E80" s="215" t="s">
        <v>103</v>
      </c>
      <c r="F80" s="216"/>
      <c r="G80" s="40">
        <f>200000*12</f>
        <v>2400000</v>
      </c>
      <c r="H80" s="41"/>
      <c r="I80" s="41"/>
      <c r="J80" s="41"/>
      <c r="K80" s="42">
        <f>SUM(G80:J80)</f>
        <v>2400000</v>
      </c>
    </row>
    <row r="81" spans="1:11" ht="24.95" customHeight="1" thickBot="1">
      <c r="A81" s="59"/>
      <c r="B81" s="59"/>
      <c r="C81" s="133"/>
      <c r="D81" s="49" t="s">
        <v>9</v>
      </c>
      <c r="E81" s="50"/>
      <c r="F81" s="51"/>
      <c r="G81" s="44">
        <f>SUM(G82:G83)</f>
        <v>4310000</v>
      </c>
      <c r="H81" s="85"/>
      <c r="I81" s="85"/>
      <c r="J81" s="85"/>
      <c r="K81" s="86">
        <f>SUM(K82:K83)</f>
        <v>4310000</v>
      </c>
    </row>
    <row r="82" spans="1:11" ht="24.95" customHeight="1">
      <c r="A82" s="59"/>
      <c r="B82" s="59"/>
      <c r="C82" s="133"/>
      <c r="D82" s="87" t="s">
        <v>104</v>
      </c>
      <c r="E82" s="215"/>
      <c r="F82" s="216" t="s">
        <v>105</v>
      </c>
      <c r="G82" s="40">
        <v>2310000</v>
      </c>
      <c r="H82" s="41"/>
      <c r="I82" s="41"/>
      <c r="J82" s="41"/>
      <c r="K82" s="42">
        <f>SUM(G82:J82)</f>
        <v>2310000</v>
      </c>
    </row>
    <row r="83" spans="1:11" ht="24.95" customHeight="1" thickBot="1">
      <c r="A83" s="59"/>
      <c r="B83" s="59"/>
      <c r="C83" s="133"/>
      <c r="D83" s="88" t="s">
        <v>106</v>
      </c>
      <c r="E83" s="215"/>
      <c r="F83" s="216" t="s">
        <v>107</v>
      </c>
      <c r="G83" s="40">
        <v>2000000</v>
      </c>
      <c r="H83" s="41"/>
      <c r="I83" s="41"/>
      <c r="J83" s="41"/>
      <c r="K83" s="42">
        <f>G83</f>
        <v>2000000</v>
      </c>
    </row>
    <row r="84" spans="1:11" ht="14.25" thickBot="1">
      <c r="A84" s="59"/>
      <c r="B84" s="59"/>
      <c r="C84" s="133"/>
      <c r="D84" s="49" t="s">
        <v>108</v>
      </c>
      <c r="E84" s="50"/>
      <c r="F84" s="51"/>
      <c r="G84" s="44">
        <f>SUM(G85:G100)</f>
        <v>54952600</v>
      </c>
      <c r="H84" s="85"/>
      <c r="I84" s="85"/>
      <c r="J84" s="85"/>
      <c r="K84" s="86">
        <f>SUM(G84:J84)</f>
        <v>54952600</v>
      </c>
    </row>
    <row r="85" spans="1:11" ht="24.95" customHeight="1">
      <c r="A85" s="59"/>
      <c r="B85" s="59"/>
      <c r="C85" s="133"/>
      <c r="D85" s="60" t="s">
        <v>140</v>
      </c>
      <c r="E85" s="84">
        <v>69011600</v>
      </c>
      <c r="F85" s="82" t="s">
        <v>163</v>
      </c>
      <c r="G85" s="89">
        <v>5748640</v>
      </c>
      <c r="H85" s="64"/>
      <c r="I85" s="64"/>
      <c r="J85" s="64"/>
      <c r="K85" s="135">
        <f>SUM(G85:J85)</f>
        <v>5748640</v>
      </c>
    </row>
    <row r="86" spans="1:11" ht="24.95" customHeight="1">
      <c r="A86" s="59"/>
      <c r="B86" s="59"/>
      <c r="C86" s="133"/>
      <c r="D86" s="65" t="s">
        <v>141</v>
      </c>
      <c r="E86" s="84">
        <v>63732900</v>
      </c>
      <c r="F86" s="82" t="s">
        <v>164</v>
      </c>
      <c r="G86" s="68">
        <v>5308920</v>
      </c>
      <c r="H86" s="69"/>
      <c r="I86" s="69"/>
      <c r="J86" s="69"/>
      <c r="K86" s="136">
        <f t="shared" ref="K86:K98" si="5">SUM(G86:J86)</f>
        <v>5308920</v>
      </c>
    </row>
    <row r="87" spans="1:11" ht="24.95" customHeight="1">
      <c r="A87" s="59"/>
      <c r="B87" s="59"/>
      <c r="C87" s="133"/>
      <c r="D87" s="65" t="s">
        <v>142</v>
      </c>
      <c r="E87" s="84">
        <v>55842900</v>
      </c>
      <c r="F87" s="82" t="s">
        <v>165</v>
      </c>
      <c r="G87" s="68">
        <v>4651740</v>
      </c>
      <c r="H87" s="69"/>
      <c r="I87" s="69"/>
      <c r="J87" s="69"/>
      <c r="K87" s="136">
        <f t="shared" si="5"/>
        <v>4651740</v>
      </c>
    </row>
    <row r="88" spans="1:11" ht="24.95" customHeight="1">
      <c r="A88" s="59"/>
      <c r="B88" s="59"/>
      <c r="C88" s="133"/>
      <c r="D88" s="65" t="s">
        <v>143</v>
      </c>
      <c r="E88" s="84">
        <v>52392040</v>
      </c>
      <c r="F88" s="82" t="s">
        <v>166</v>
      </c>
      <c r="G88" s="68">
        <v>4364230</v>
      </c>
      <c r="H88" s="69"/>
      <c r="I88" s="69"/>
      <c r="J88" s="69"/>
      <c r="K88" s="136">
        <f t="shared" si="5"/>
        <v>4364230</v>
      </c>
    </row>
    <row r="89" spans="1:11" ht="24.95" customHeight="1">
      <c r="A89" s="59"/>
      <c r="B89" s="59"/>
      <c r="C89" s="133"/>
      <c r="D89" s="65" t="s">
        <v>144</v>
      </c>
      <c r="E89" s="84">
        <v>52675370</v>
      </c>
      <c r="F89" s="82" t="s">
        <v>167</v>
      </c>
      <c r="G89" s="68">
        <v>4387820</v>
      </c>
      <c r="H89" s="69"/>
      <c r="I89" s="69"/>
      <c r="J89" s="69"/>
      <c r="K89" s="136">
        <f t="shared" si="5"/>
        <v>4387820</v>
      </c>
    </row>
    <row r="90" spans="1:11" ht="24.95" customHeight="1">
      <c r="A90" s="59"/>
      <c r="B90" s="59"/>
      <c r="C90" s="133"/>
      <c r="D90" s="65" t="s">
        <v>27</v>
      </c>
      <c r="E90" s="84">
        <v>36140500</v>
      </c>
      <c r="F90" s="82" t="s">
        <v>168</v>
      </c>
      <c r="G90" s="68">
        <v>3010480</v>
      </c>
      <c r="H90" s="69"/>
      <c r="I90" s="69"/>
      <c r="J90" s="69"/>
      <c r="K90" s="136">
        <f t="shared" si="5"/>
        <v>3010480</v>
      </c>
    </row>
    <row r="91" spans="1:11" ht="24.95" customHeight="1">
      <c r="A91" s="59"/>
      <c r="B91" s="59"/>
      <c r="C91" s="133"/>
      <c r="D91" s="65" t="s">
        <v>145</v>
      </c>
      <c r="E91" s="84">
        <v>37783200</v>
      </c>
      <c r="F91" s="82" t="s">
        <v>169</v>
      </c>
      <c r="G91" s="68">
        <v>3147360</v>
      </c>
      <c r="H91" s="69"/>
      <c r="I91" s="69"/>
      <c r="J91" s="69"/>
      <c r="K91" s="136">
        <f t="shared" si="5"/>
        <v>3147360</v>
      </c>
    </row>
    <row r="92" spans="1:11" ht="24.95" customHeight="1">
      <c r="A92" s="59"/>
      <c r="B92" s="59"/>
      <c r="C92" s="133"/>
      <c r="D92" s="75" t="s">
        <v>146</v>
      </c>
      <c r="E92" s="84">
        <v>37766800</v>
      </c>
      <c r="F92" s="82" t="s">
        <v>170</v>
      </c>
      <c r="G92" s="68">
        <v>3145930</v>
      </c>
      <c r="H92" s="69"/>
      <c r="I92" s="69"/>
      <c r="J92" s="69"/>
      <c r="K92" s="136">
        <f t="shared" si="5"/>
        <v>3145930</v>
      </c>
    </row>
    <row r="93" spans="1:11" ht="24.95" customHeight="1">
      <c r="A93" s="59"/>
      <c r="B93" s="59"/>
      <c r="C93" s="133"/>
      <c r="D93" s="65" t="s">
        <v>147</v>
      </c>
      <c r="E93" s="84">
        <v>31827150</v>
      </c>
      <c r="F93" s="82" t="s">
        <v>171</v>
      </c>
      <c r="G93" s="68">
        <v>2651170</v>
      </c>
      <c r="H93" s="69"/>
      <c r="I93" s="69"/>
      <c r="J93" s="69"/>
      <c r="K93" s="136">
        <f t="shared" si="5"/>
        <v>2651170</v>
      </c>
    </row>
    <row r="94" spans="1:11" ht="24.95" customHeight="1">
      <c r="A94" s="59"/>
      <c r="B94" s="59"/>
      <c r="C94" s="133"/>
      <c r="D94" s="75" t="s">
        <v>148</v>
      </c>
      <c r="E94" s="84">
        <v>33434220</v>
      </c>
      <c r="F94" s="82" t="s">
        <v>172</v>
      </c>
      <c r="G94" s="68">
        <v>2785070</v>
      </c>
      <c r="H94" s="69"/>
      <c r="I94" s="69"/>
      <c r="J94" s="69"/>
      <c r="K94" s="136">
        <f t="shared" si="5"/>
        <v>2785070</v>
      </c>
    </row>
    <row r="95" spans="1:11" ht="24.95" customHeight="1">
      <c r="A95" s="59"/>
      <c r="B95" s="59"/>
      <c r="C95" s="133"/>
      <c r="D95" s="75" t="s">
        <v>149</v>
      </c>
      <c r="E95" s="84">
        <v>38379960</v>
      </c>
      <c r="F95" s="82" t="s">
        <v>173</v>
      </c>
      <c r="G95" s="68">
        <v>3197040</v>
      </c>
      <c r="H95" s="69"/>
      <c r="I95" s="69"/>
      <c r="J95" s="69"/>
      <c r="K95" s="136">
        <f t="shared" si="5"/>
        <v>3197040</v>
      </c>
    </row>
    <row r="96" spans="1:11" ht="24.95" customHeight="1">
      <c r="A96" s="59"/>
      <c r="B96" s="59"/>
      <c r="C96" s="133"/>
      <c r="D96" s="65" t="s">
        <v>150</v>
      </c>
      <c r="E96" s="84">
        <v>40320360</v>
      </c>
      <c r="F96" s="82" t="s">
        <v>174</v>
      </c>
      <c r="G96" s="68">
        <v>3358720</v>
      </c>
      <c r="H96" s="69"/>
      <c r="I96" s="69"/>
      <c r="J96" s="69"/>
      <c r="K96" s="136">
        <f t="shared" si="5"/>
        <v>3358720</v>
      </c>
    </row>
    <row r="97" spans="1:16" ht="24.95" customHeight="1">
      <c r="A97" s="59"/>
      <c r="B97" s="59"/>
      <c r="C97" s="133"/>
      <c r="D97" s="65" t="s">
        <v>151</v>
      </c>
      <c r="E97" s="84">
        <v>37174810</v>
      </c>
      <c r="F97" s="82" t="s">
        <v>175</v>
      </c>
      <c r="G97" s="68">
        <v>3096620</v>
      </c>
      <c r="H97" s="69"/>
      <c r="I97" s="69"/>
      <c r="J97" s="69"/>
      <c r="K97" s="136">
        <f t="shared" si="5"/>
        <v>3096620</v>
      </c>
    </row>
    <row r="98" spans="1:16" ht="24.95" customHeight="1">
      <c r="A98" s="59"/>
      <c r="B98" s="59"/>
      <c r="C98" s="133"/>
      <c r="D98" s="65" t="s">
        <v>152</v>
      </c>
      <c r="E98" s="84">
        <v>37763400</v>
      </c>
      <c r="F98" s="82" t="s">
        <v>176</v>
      </c>
      <c r="G98" s="68">
        <v>3145700</v>
      </c>
      <c r="H98" s="69"/>
      <c r="I98" s="69"/>
      <c r="J98" s="69"/>
      <c r="K98" s="136">
        <f t="shared" si="5"/>
        <v>3145700</v>
      </c>
    </row>
    <row r="99" spans="1:16" ht="24.95" customHeight="1">
      <c r="A99" s="59"/>
      <c r="B99" s="59"/>
      <c r="C99" s="133"/>
      <c r="D99" s="65" t="s">
        <v>153</v>
      </c>
      <c r="E99" s="84">
        <v>32461900</v>
      </c>
      <c r="F99" s="82" t="s">
        <v>177</v>
      </c>
      <c r="G99" s="79">
        <v>2740670</v>
      </c>
      <c r="H99" s="76"/>
      <c r="I99" s="76"/>
      <c r="J99" s="76"/>
      <c r="K99" s="138">
        <f>SUM(G99:J99)</f>
        <v>2740670</v>
      </c>
    </row>
    <row r="100" spans="1:16" ht="24.95" customHeight="1" thickBot="1">
      <c r="A100" s="59"/>
      <c r="B100" s="59"/>
      <c r="C100" s="133"/>
      <c r="D100" s="214" t="s">
        <v>18</v>
      </c>
      <c r="E100" s="140">
        <v>2550930</v>
      </c>
      <c r="F100" s="141" t="s">
        <v>178</v>
      </c>
      <c r="G100" s="40">
        <v>212490</v>
      </c>
      <c r="H100" s="41"/>
      <c r="I100" s="41"/>
      <c r="J100" s="41"/>
      <c r="K100" s="138">
        <f>SUM(G100:J100)</f>
        <v>212490</v>
      </c>
    </row>
    <row r="101" spans="1:16" ht="15" customHeight="1" thickBot="1">
      <c r="A101" s="59"/>
      <c r="B101" s="59"/>
      <c r="C101" s="133"/>
      <c r="D101" s="1658" t="s">
        <v>25</v>
      </c>
      <c r="E101" s="1659"/>
      <c r="F101" s="213"/>
      <c r="G101" s="44">
        <f>SUM(G102:G105)</f>
        <v>64388360</v>
      </c>
      <c r="H101" s="85"/>
      <c r="I101" s="85"/>
      <c r="J101" s="85"/>
      <c r="K101" s="86">
        <f>SUM(K102:K105)</f>
        <v>64388360</v>
      </c>
    </row>
    <row r="102" spans="1:16" ht="22.5" customHeight="1">
      <c r="A102" s="59"/>
      <c r="B102" s="59"/>
      <c r="C102" s="133"/>
      <c r="D102" s="65" t="s">
        <v>109</v>
      </c>
      <c r="E102" s="1655" t="s">
        <v>179</v>
      </c>
      <c r="F102" s="1656"/>
      <c r="G102" s="40">
        <v>29666510</v>
      </c>
      <c r="H102" s="48"/>
      <c r="I102" s="48"/>
      <c r="J102" s="48"/>
      <c r="K102" s="135">
        <f>SUM(G102:J102)</f>
        <v>29666510</v>
      </c>
    </row>
    <row r="103" spans="1:16" ht="22.5">
      <c r="A103" s="59"/>
      <c r="B103" s="59"/>
      <c r="C103" s="133"/>
      <c r="D103" s="60" t="s">
        <v>110</v>
      </c>
      <c r="E103" s="1630" t="s">
        <v>180</v>
      </c>
      <c r="F103" s="1654"/>
      <c r="G103" s="89">
        <v>24239890</v>
      </c>
      <c r="H103" s="64"/>
      <c r="I103" s="64"/>
      <c r="J103" s="64"/>
      <c r="K103" s="135">
        <f>SUM(G103:J103)</f>
        <v>24239890</v>
      </c>
      <c r="N103" s="71"/>
      <c r="O103" s="142"/>
      <c r="P103" s="72"/>
    </row>
    <row r="104" spans="1:16" ht="24.95" customHeight="1">
      <c r="A104" s="59"/>
      <c r="B104" s="59"/>
      <c r="C104" s="133"/>
      <c r="D104" s="143" t="s">
        <v>111</v>
      </c>
      <c r="E104" s="1660" t="s">
        <v>181</v>
      </c>
      <c r="F104" s="1661"/>
      <c r="G104" s="144">
        <v>5273860</v>
      </c>
      <c r="H104" s="145"/>
      <c r="I104" s="145"/>
      <c r="J104" s="145"/>
      <c r="K104" s="146">
        <f>SUM(G104:J104)</f>
        <v>5273860</v>
      </c>
      <c r="O104" s="142"/>
      <c r="P104" s="72"/>
    </row>
    <row r="105" spans="1:16" ht="24.95" customHeight="1" thickBot="1">
      <c r="A105" s="59"/>
      <c r="B105" s="59"/>
      <c r="C105" s="59"/>
      <c r="D105" s="147" t="s">
        <v>112</v>
      </c>
      <c r="E105" s="1662" t="s">
        <v>182</v>
      </c>
      <c r="F105" s="1663"/>
      <c r="G105" s="148">
        <v>5208100</v>
      </c>
      <c r="H105" s="149"/>
      <c r="I105" s="149"/>
      <c r="J105" s="149"/>
      <c r="K105" s="150">
        <f>G105</f>
        <v>5208100</v>
      </c>
      <c r="O105" s="142"/>
      <c r="P105" s="72"/>
    </row>
    <row r="106" spans="1:16" ht="14.25" thickBot="1">
      <c r="A106" s="59"/>
      <c r="B106" s="59"/>
      <c r="C106" s="59"/>
      <c r="D106" s="49" t="s">
        <v>161</v>
      </c>
      <c r="E106" s="50"/>
      <c r="F106" s="51"/>
      <c r="G106" s="44">
        <f>SUM(G107:G107)</f>
        <v>73344000</v>
      </c>
      <c r="H106" s="85"/>
      <c r="I106" s="85"/>
      <c r="J106" s="85"/>
      <c r="K106" s="86">
        <f>SUM(K107)</f>
        <v>73344000</v>
      </c>
      <c r="M106" s="142"/>
      <c r="O106" s="142"/>
      <c r="P106" s="72"/>
    </row>
    <row r="107" spans="1:16" ht="24.95" customHeight="1" thickBot="1">
      <c r="A107" s="59"/>
      <c r="B107" s="59"/>
      <c r="C107" s="59"/>
      <c r="D107" s="1664" t="s">
        <v>158</v>
      </c>
      <c r="E107" s="1665"/>
      <c r="F107" s="1666"/>
      <c r="G107" s="40">
        <f>61120*100*12</f>
        <v>73344000</v>
      </c>
      <c r="H107" s="41"/>
      <c r="I107" s="41"/>
      <c r="J107" s="41"/>
      <c r="K107" s="42">
        <f>SUM(G107:J107)</f>
        <v>73344000</v>
      </c>
    </row>
    <row r="108" spans="1:16" ht="14.25" thickBot="1">
      <c r="A108" s="59"/>
      <c r="B108" s="59"/>
      <c r="C108" s="59"/>
      <c r="D108" s="49" t="s">
        <v>113</v>
      </c>
      <c r="E108" s="50"/>
      <c r="F108" s="51"/>
      <c r="G108" s="44">
        <f>SUM(G109:G111)</f>
        <v>229650000</v>
      </c>
      <c r="H108" s="85"/>
      <c r="I108" s="85"/>
      <c r="J108" s="85"/>
      <c r="K108" s="134">
        <f>SUM(K109:K111)</f>
        <v>229650000</v>
      </c>
      <c r="M108" s="142"/>
    </row>
    <row r="109" spans="1:16">
      <c r="A109" s="59"/>
      <c r="B109" s="59"/>
      <c r="C109" s="59"/>
      <c r="D109" s="35" t="s">
        <v>251</v>
      </c>
      <c r="E109" s="215"/>
      <c r="F109" s="216"/>
      <c r="G109" s="36">
        <v>126000000</v>
      </c>
      <c r="H109" s="151"/>
      <c r="I109" s="151"/>
      <c r="J109" s="151"/>
      <c r="K109" s="98">
        <f>SUM(G109:J109)</f>
        <v>126000000</v>
      </c>
    </row>
    <row r="110" spans="1:16">
      <c r="A110" s="59"/>
      <c r="B110" s="59"/>
      <c r="C110" s="59"/>
      <c r="D110" s="35" t="s">
        <v>157</v>
      </c>
      <c r="E110" s="215"/>
      <c r="F110" s="216"/>
      <c r="G110" s="37">
        <f>2500*3*113*100</f>
        <v>84750000</v>
      </c>
      <c r="H110" s="41"/>
      <c r="I110" s="41"/>
      <c r="J110" s="41"/>
      <c r="K110" s="42">
        <f>SUM(G110:J110)</f>
        <v>84750000</v>
      </c>
    </row>
    <row r="111" spans="1:16" ht="14.25" thickBot="1">
      <c r="A111" s="59"/>
      <c r="B111" s="59"/>
      <c r="C111" s="59"/>
      <c r="D111" s="35" t="s">
        <v>252</v>
      </c>
      <c r="E111" s="215"/>
      <c r="F111" s="216"/>
      <c r="G111" s="37">
        <v>18900000</v>
      </c>
      <c r="H111" s="41"/>
      <c r="I111" s="41"/>
      <c r="J111" s="41"/>
      <c r="K111" s="42">
        <f>SUM(G111:J111)</f>
        <v>18900000</v>
      </c>
    </row>
    <row r="112" spans="1:16" ht="14.25" thickBot="1">
      <c r="A112" s="59"/>
      <c r="B112" s="59"/>
      <c r="C112" s="59"/>
      <c r="D112" s="220" t="s">
        <v>114</v>
      </c>
      <c r="E112" s="221"/>
      <c r="F112" s="222"/>
      <c r="G112" s="223">
        <f>G113</f>
        <v>48000000</v>
      </c>
      <c r="H112" s="224"/>
      <c r="I112" s="224"/>
      <c r="J112" s="224"/>
      <c r="K112" s="225">
        <f>K113</f>
        <v>48000000</v>
      </c>
    </row>
    <row r="113" spans="1:13" ht="24" customHeight="1" thickBot="1">
      <c r="A113" s="59"/>
      <c r="B113" s="59"/>
      <c r="C113" s="59"/>
      <c r="D113" s="1667" t="s">
        <v>115</v>
      </c>
      <c r="E113" s="1668"/>
      <c r="F113" s="1669"/>
      <c r="G113" s="226">
        <v>48000000</v>
      </c>
      <c r="H113" s="227"/>
      <c r="I113" s="228"/>
      <c r="J113" s="228"/>
      <c r="K113" s="229">
        <f>G113</f>
        <v>48000000</v>
      </c>
    </row>
    <row r="114" spans="1:13" ht="14.25" thickBot="1">
      <c r="A114" s="59"/>
      <c r="B114" s="59"/>
      <c r="C114" s="59"/>
      <c r="D114" s="49" t="s">
        <v>116</v>
      </c>
      <c r="E114" s="52"/>
      <c r="F114" s="94"/>
      <c r="G114" s="49">
        <f>SUM(G115,G117,G119)</f>
        <v>446184772</v>
      </c>
      <c r="H114" s="85"/>
      <c r="I114" s="85"/>
      <c r="J114" s="85"/>
      <c r="K114" s="134">
        <f>SUM(K115,K119+K117)</f>
        <v>446184772</v>
      </c>
    </row>
    <row r="115" spans="1:13" ht="14.25" thickBot="1">
      <c r="A115" s="59"/>
      <c r="B115" s="59"/>
      <c r="C115" s="59"/>
      <c r="D115" s="220" t="s">
        <v>117</v>
      </c>
      <c r="E115" s="221"/>
      <c r="F115" s="222"/>
      <c r="G115" s="223">
        <f>SUM(G116)</f>
        <v>161910320</v>
      </c>
      <c r="H115" s="224"/>
      <c r="I115" s="224"/>
      <c r="J115" s="224"/>
      <c r="K115" s="225">
        <f>SUM(K116)</f>
        <v>161910320</v>
      </c>
    </row>
    <row r="116" spans="1:13" ht="14.25" thickBot="1">
      <c r="A116" s="59"/>
      <c r="B116" s="59"/>
      <c r="C116" s="133"/>
      <c r="D116" s="247" t="s">
        <v>118</v>
      </c>
      <c r="E116" s="248"/>
      <c r="F116" s="249"/>
      <c r="G116" s="250">
        <v>161910320</v>
      </c>
      <c r="H116" s="227"/>
      <c r="I116" s="227"/>
      <c r="J116" s="227"/>
      <c r="K116" s="251">
        <f>SUM(G116:J116)</f>
        <v>161910320</v>
      </c>
      <c r="M116" s="71"/>
    </row>
    <row r="117" spans="1:13" ht="14.25" thickBot="1">
      <c r="A117" s="59"/>
      <c r="B117" s="59"/>
      <c r="C117" s="133"/>
      <c r="D117" s="1670" t="s">
        <v>119</v>
      </c>
      <c r="E117" s="1671"/>
      <c r="F117" s="252"/>
      <c r="G117" s="253">
        <f>G118</f>
        <v>226674452</v>
      </c>
      <c r="H117" s="254"/>
      <c r="I117" s="254"/>
      <c r="J117" s="254"/>
      <c r="K117" s="255">
        <f>SUM(G117:J117)</f>
        <v>226674452</v>
      </c>
      <c r="M117" s="71"/>
    </row>
    <row r="118" spans="1:13" ht="14.25" thickBot="1">
      <c r="A118" s="59"/>
      <c r="B118" s="59"/>
      <c r="C118" s="133"/>
      <c r="D118" s="247" t="s">
        <v>120</v>
      </c>
      <c r="E118" s="248"/>
      <c r="F118" s="249"/>
      <c r="G118" s="256">
        <v>226674452</v>
      </c>
      <c r="H118" s="227"/>
      <c r="I118" s="227"/>
      <c r="J118" s="227"/>
      <c r="K118" s="251">
        <f>SUM(G118:J118)</f>
        <v>226674452</v>
      </c>
    </row>
    <row r="119" spans="1:13" ht="14.25" thickBot="1">
      <c r="A119" s="59"/>
      <c r="B119" s="59"/>
      <c r="C119" s="59"/>
      <c r="D119" s="49" t="s">
        <v>121</v>
      </c>
      <c r="E119" s="50"/>
      <c r="F119" s="51"/>
      <c r="G119" s="44">
        <f>SUM(G120:G123)</f>
        <v>57600000</v>
      </c>
      <c r="H119" s="85"/>
      <c r="I119" s="85"/>
      <c r="J119" s="85"/>
      <c r="K119" s="152">
        <f>SUM(K120:K123)</f>
        <v>57600000</v>
      </c>
    </row>
    <row r="120" spans="1:13">
      <c r="A120" s="59"/>
      <c r="B120" s="59"/>
      <c r="C120" s="133"/>
      <c r="D120" s="35" t="s">
        <v>122</v>
      </c>
      <c r="E120" s="45"/>
      <c r="F120" s="46"/>
      <c r="G120" s="40">
        <v>52000000</v>
      </c>
      <c r="H120" s="41"/>
      <c r="I120" s="48"/>
      <c r="J120" s="48"/>
      <c r="K120" s="42">
        <f>SUM(G120:J120)</f>
        <v>52000000</v>
      </c>
    </row>
    <row r="121" spans="1:13">
      <c r="A121" s="59"/>
      <c r="B121" s="59"/>
      <c r="C121" s="133"/>
      <c r="D121" s="247" t="s">
        <v>253</v>
      </c>
      <c r="E121" s="248"/>
      <c r="F121" s="249"/>
      <c r="G121" s="257">
        <v>3600000</v>
      </c>
      <c r="H121" s="227"/>
      <c r="I121" s="227"/>
      <c r="J121" s="227"/>
      <c r="K121" s="251">
        <f>SUM(G121:J121)</f>
        <v>3600000</v>
      </c>
    </row>
    <row r="122" spans="1:13">
      <c r="A122" s="59"/>
      <c r="B122" s="59"/>
      <c r="C122" s="133"/>
      <c r="D122" s="35" t="s">
        <v>124</v>
      </c>
      <c r="E122" s="215"/>
      <c r="F122" s="216"/>
      <c r="G122" s="40">
        <v>1000000</v>
      </c>
      <c r="H122" s="41"/>
      <c r="I122" s="41"/>
      <c r="J122" s="41"/>
      <c r="K122" s="42">
        <f>SUM(G122:J122)</f>
        <v>1000000</v>
      </c>
    </row>
    <row r="123" spans="1:13" ht="14.25" thickBot="1">
      <c r="A123" s="59"/>
      <c r="B123" s="59"/>
      <c r="C123" s="133"/>
      <c r="D123" s="35" t="s">
        <v>125</v>
      </c>
      <c r="E123" s="215"/>
      <c r="F123" s="216"/>
      <c r="G123" s="40">
        <v>1000000</v>
      </c>
      <c r="H123" s="41"/>
      <c r="I123" s="41"/>
      <c r="J123" s="41"/>
      <c r="K123" s="42">
        <f>SUM(G123:J123)</f>
        <v>1000000</v>
      </c>
    </row>
    <row r="124" spans="1:13" ht="14.25" thickBot="1">
      <c r="A124" s="54" t="s">
        <v>34</v>
      </c>
      <c r="B124" s="54"/>
      <c r="C124" s="54" t="s">
        <v>42</v>
      </c>
      <c r="D124" s="153"/>
      <c r="E124" s="52"/>
      <c r="F124" s="94"/>
      <c r="G124" s="44"/>
      <c r="H124" s="85">
        <f>H125</f>
        <v>20000000</v>
      </c>
      <c r="I124" s="85"/>
      <c r="J124" s="85"/>
      <c r="K124" s="134">
        <f>K125</f>
        <v>20000000</v>
      </c>
    </row>
    <row r="125" spans="1:13" ht="14.25" thickBot="1">
      <c r="A125" s="59"/>
      <c r="B125" s="59" t="s">
        <v>34</v>
      </c>
      <c r="C125" s="59"/>
      <c r="D125" s="35"/>
      <c r="E125" s="215"/>
      <c r="F125" s="216"/>
      <c r="G125" s="47"/>
      <c r="H125" s="48">
        <f>SUM(H126:H127)</f>
        <v>20000000</v>
      </c>
      <c r="I125" s="48"/>
      <c r="J125" s="48"/>
      <c r="K125" s="154">
        <f>K126</f>
        <v>20000000</v>
      </c>
    </row>
    <row r="126" spans="1:13" ht="14.25" thickBot="1">
      <c r="A126" s="59"/>
      <c r="B126" s="155"/>
      <c r="C126" s="156" t="s">
        <v>126</v>
      </c>
      <c r="D126" s="157" t="s">
        <v>126</v>
      </c>
      <c r="E126" s="158"/>
      <c r="F126" s="159"/>
      <c r="G126" s="160"/>
      <c r="H126" s="161">
        <v>20000000</v>
      </c>
      <c r="I126" s="161"/>
      <c r="J126" s="161"/>
      <c r="K126" s="86">
        <f>J126+H126+G126</f>
        <v>20000000</v>
      </c>
    </row>
    <row r="127" spans="1:13" ht="15" customHeight="1" thickBot="1">
      <c r="A127" s="59"/>
      <c r="B127" s="59"/>
      <c r="C127" s="133"/>
      <c r="D127" s="49"/>
      <c r="E127" s="50"/>
      <c r="F127" s="51"/>
      <c r="G127" s="44"/>
      <c r="H127" s="85"/>
      <c r="I127" s="85"/>
      <c r="J127" s="85"/>
      <c r="K127" s="134"/>
    </row>
    <row r="128" spans="1:13" ht="15" customHeight="1" thickBot="1">
      <c r="A128" s="54" t="s">
        <v>207</v>
      </c>
      <c r="B128" s="54"/>
      <c r="C128" s="54" t="s">
        <v>213</v>
      </c>
      <c r="D128" s="153"/>
      <c r="E128" s="52"/>
      <c r="F128" s="94"/>
      <c r="G128" s="90"/>
      <c r="H128" s="85"/>
      <c r="I128" s="85">
        <f>I129</f>
        <v>15120000</v>
      </c>
      <c r="J128" s="85"/>
      <c r="K128" s="134">
        <f>SUM(G128:J128)</f>
        <v>15120000</v>
      </c>
    </row>
    <row r="129" spans="1:14" ht="15" customHeight="1" thickBot="1">
      <c r="A129" s="59"/>
      <c r="B129" s="54" t="s">
        <v>207</v>
      </c>
      <c r="C129" s="54"/>
      <c r="D129" s="209"/>
      <c r="E129" s="50"/>
      <c r="F129" s="51"/>
      <c r="G129" s="44"/>
      <c r="H129" s="85"/>
      <c r="I129" s="85">
        <f>I130+I135</f>
        <v>15120000</v>
      </c>
      <c r="J129" s="85"/>
      <c r="K129" s="134">
        <f>SUM(G129:J129)</f>
        <v>15120000</v>
      </c>
    </row>
    <row r="130" spans="1:14" ht="15" customHeight="1" thickBot="1">
      <c r="A130" s="59"/>
      <c r="B130" s="59"/>
      <c r="C130" s="54" t="s">
        <v>208</v>
      </c>
      <c r="D130" s="209" t="s">
        <v>208</v>
      </c>
      <c r="E130" s="50"/>
      <c r="F130" s="51"/>
      <c r="G130" s="44"/>
      <c r="H130" s="85"/>
      <c r="I130" s="85">
        <f>SUM(I131:I134)</f>
        <v>6300000</v>
      </c>
      <c r="J130" s="91"/>
      <c r="K130" s="86">
        <f t="shared" ref="K130:K138" si="6">I130</f>
        <v>6300000</v>
      </c>
    </row>
    <row r="131" spans="1:14" ht="15" customHeight="1">
      <c r="A131" s="59"/>
      <c r="B131" s="59"/>
      <c r="C131" s="59"/>
      <c r="D131" s="219" t="s">
        <v>127</v>
      </c>
      <c r="E131" s="45"/>
      <c r="F131" s="46"/>
      <c r="G131" s="47"/>
      <c r="H131" s="48"/>
      <c r="I131" s="41">
        <v>2000000</v>
      </c>
      <c r="J131" s="41"/>
      <c r="K131" s="42">
        <f t="shared" si="6"/>
        <v>2000000</v>
      </c>
    </row>
    <row r="132" spans="1:14" ht="15" customHeight="1">
      <c r="A132" s="59"/>
      <c r="B132" s="59"/>
      <c r="C132" s="59"/>
      <c r="D132" s="219" t="s">
        <v>124</v>
      </c>
      <c r="E132" s="45"/>
      <c r="F132" s="46"/>
      <c r="G132" s="47"/>
      <c r="H132" s="48"/>
      <c r="I132" s="41">
        <v>2000000</v>
      </c>
      <c r="J132" s="41"/>
      <c r="K132" s="42">
        <f t="shared" si="6"/>
        <v>2000000</v>
      </c>
    </row>
    <row r="133" spans="1:14" ht="15" customHeight="1">
      <c r="A133" s="59"/>
      <c r="B133" s="59"/>
      <c r="C133" s="59"/>
      <c r="D133" s="219" t="s">
        <v>125</v>
      </c>
      <c r="E133" s="45"/>
      <c r="F133" s="46"/>
      <c r="G133" s="47"/>
      <c r="H133" s="48"/>
      <c r="I133" s="41">
        <v>2000000</v>
      </c>
      <c r="J133" s="41"/>
      <c r="K133" s="42">
        <f t="shared" si="6"/>
        <v>2000000</v>
      </c>
    </row>
    <row r="134" spans="1:14" ht="15" customHeight="1" thickBot="1">
      <c r="A134" s="59"/>
      <c r="B134" s="59"/>
      <c r="C134" s="59"/>
      <c r="D134" s="219" t="s">
        <v>128</v>
      </c>
      <c r="E134" s="45"/>
      <c r="F134" s="46"/>
      <c r="G134" s="47"/>
      <c r="H134" s="48"/>
      <c r="I134" s="41">
        <v>300000</v>
      </c>
      <c r="J134" s="41"/>
      <c r="K134" s="42">
        <f t="shared" si="6"/>
        <v>300000</v>
      </c>
    </row>
    <row r="135" spans="1:14" ht="15" customHeight="1" thickBot="1">
      <c r="A135" s="59"/>
      <c r="B135" s="59"/>
      <c r="C135" s="54" t="s">
        <v>209</v>
      </c>
      <c r="D135" s="92" t="s">
        <v>209</v>
      </c>
      <c r="E135" s="50"/>
      <c r="F135" s="51"/>
      <c r="G135" s="44"/>
      <c r="H135" s="85"/>
      <c r="I135" s="85">
        <f>SUM(I136:I138)</f>
        <v>8820000</v>
      </c>
      <c r="J135" s="91"/>
      <c r="K135" s="86">
        <f t="shared" si="6"/>
        <v>8820000</v>
      </c>
    </row>
    <row r="136" spans="1:14" ht="15" customHeight="1">
      <c r="A136" s="59"/>
      <c r="B136" s="59"/>
      <c r="C136" s="59"/>
      <c r="D136" s="219" t="s">
        <v>211</v>
      </c>
      <c r="E136" s="45"/>
      <c r="F136" s="46"/>
      <c r="G136" s="47"/>
      <c r="H136" s="48"/>
      <c r="I136" s="41">
        <v>4000000</v>
      </c>
      <c r="J136" s="41"/>
      <c r="K136" s="42">
        <f t="shared" si="6"/>
        <v>4000000</v>
      </c>
    </row>
    <row r="137" spans="1:14" ht="15" customHeight="1">
      <c r="A137" s="59"/>
      <c r="B137" s="59"/>
      <c r="C137" s="59"/>
      <c r="D137" s="219" t="s">
        <v>210</v>
      </c>
      <c r="E137" s="45"/>
      <c r="F137" s="46"/>
      <c r="G137" s="47"/>
      <c r="H137" s="48"/>
      <c r="I137" s="41">
        <v>4320000</v>
      </c>
      <c r="J137" s="41"/>
      <c r="K137" s="42">
        <f t="shared" si="6"/>
        <v>4320000</v>
      </c>
    </row>
    <row r="138" spans="1:14" ht="15" customHeight="1" thickBot="1">
      <c r="A138" s="59"/>
      <c r="B138" s="59"/>
      <c r="C138" s="59"/>
      <c r="D138" s="219" t="s">
        <v>212</v>
      </c>
      <c r="E138" s="45"/>
      <c r="F138" s="46"/>
      <c r="G138" s="47"/>
      <c r="H138" s="48"/>
      <c r="I138" s="41">
        <v>500000</v>
      </c>
      <c r="J138" s="41"/>
      <c r="K138" s="42">
        <f t="shared" si="6"/>
        <v>500000</v>
      </c>
    </row>
    <row r="139" spans="1:14" ht="15" customHeight="1" thickBot="1">
      <c r="A139" s="54" t="s">
        <v>36</v>
      </c>
      <c r="B139" s="54"/>
      <c r="C139" s="54" t="s">
        <v>42</v>
      </c>
      <c r="D139" s="153"/>
      <c r="E139" s="52"/>
      <c r="F139" s="94"/>
      <c r="G139" s="90"/>
      <c r="H139" s="91"/>
      <c r="I139" s="91"/>
      <c r="J139" s="85">
        <f>J140</f>
        <v>10800000</v>
      </c>
      <c r="K139" s="134">
        <f>K140</f>
        <v>10800000</v>
      </c>
    </row>
    <row r="140" spans="1:14" ht="15" customHeight="1" thickBot="1">
      <c r="A140" s="59"/>
      <c r="B140" s="54" t="s">
        <v>36</v>
      </c>
      <c r="C140" s="54"/>
      <c r="D140" s="49"/>
      <c r="E140" s="50"/>
      <c r="F140" s="51"/>
      <c r="G140" s="44"/>
      <c r="H140" s="85"/>
      <c r="I140" s="85"/>
      <c r="J140" s="162">
        <f>SUM(J141:J142)</f>
        <v>10800000</v>
      </c>
      <c r="K140" s="86">
        <f>SUM(K141:K142)</f>
        <v>10800000</v>
      </c>
    </row>
    <row r="141" spans="1:14" ht="15" customHeight="1">
      <c r="A141" s="59"/>
      <c r="B141" s="59"/>
      <c r="C141" s="58" t="s">
        <v>129</v>
      </c>
      <c r="D141" s="95" t="s">
        <v>214</v>
      </c>
      <c r="E141" s="96"/>
      <c r="F141" s="97"/>
      <c r="G141" s="79"/>
      <c r="H141" s="76"/>
      <c r="I141" s="76"/>
      <c r="J141" s="163">
        <v>10800000</v>
      </c>
      <c r="K141" s="98">
        <v>10800000</v>
      </c>
    </row>
    <row r="142" spans="1:14" ht="15" customHeight="1" thickBot="1">
      <c r="A142" s="59"/>
      <c r="B142" s="59"/>
      <c r="C142" s="59"/>
      <c r="D142" s="35"/>
      <c r="E142" s="215"/>
      <c r="F142" s="216"/>
      <c r="G142" s="40"/>
      <c r="H142" s="41"/>
      <c r="I142" s="41"/>
      <c r="J142" s="164"/>
      <c r="K142" s="42">
        <f>J142</f>
        <v>0</v>
      </c>
    </row>
    <row r="143" spans="1:14" ht="14.25" thickBot="1">
      <c r="A143" s="54" t="s">
        <v>130</v>
      </c>
      <c r="B143" s="54"/>
      <c r="C143" s="54"/>
      <c r="D143" s="153"/>
      <c r="E143" s="52"/>
      <c r="F143" s="94"/>
      <c r="G143" s="165">
        <f>G144</f>
        <v>39099988</v>
      </c>
      <c r="H143" s="85">
        <f>H144</f>
        <v>44000000</v>
      </c>
      <c r="I143" s="85">
        <f>I144</f>
        <v>9000000</v>
      </c>
      <c r="J143" s="85">
        <f>J144</f>
        <v>16202543</v>
      </c>
      <c r="K143" s="86">
        <f t="shared" ref="K143:K149" si="7">SUM(G143:J143)</f>
        <v>108302531</v>
      </c>
      <c r="N143" s="72"/>
    </row>
    <row r="144" spans="1:14" ht="14.25" thickBot="1">
      <c r="A144" s="166"/>
      <c r="B144" s="54" t="s">
        <v>130</v>
      </c>
      <c r="C144" s="54" t="s">
        <v>42</v>
      </c>
      <c r="D144" s="153"/>
      <c r="E144" s="52"/>
      <c r="F144" s="94"/>
      <c r="G144" s="85">
        <f>SUM(G145:G149)</f>
        <v>39099988</v>
      </c>
      <c r="H144" s="85">
        <f>SUM(H145:H149)</f>
        <v>44000000</v>
      </c>
      <c r="I144" s="85">
        <f>SUM(I145:I149)</f>
        <v>9000000</v>
      </c>
      <c r="J144" s="85">
        <f>SUM(J145:J149)</f>
        <v>16202543</v>
      </c>
      <c r="K144" s="134">
        <f t="shared" si="7"/>
        <v>108302531</v>
      </c>
      <c r="N144" s="167"/>
    </row>
    <row r="145" spans="1:14">
      <c r="A145" s="43"/>
      <c r="B145" s="43"/>
      <c r="C145" s="43" t="s">
        <v>131</v>
      </c>
      <c r="D145" s="170" t="s">
        <v>249</v>
      </c>
      <c r="E145" s="171"/>
      <c r="F145" s="172"/>
      <c r="G145" s="173">
        <v>39099988</v>
      </c>
      <c r="H145" s="174"/>
      <c r="I145" s="174"/>
      <c r="J145" s="174"/>
      <c r="K145" s="189">
        <f t="shared" si="7"/>
        <v>39099988</v>
      </c>
      <c r="N145" s="167"/>
    </row>
    <row r="146" spans="1:14">
      <c r="A146" s="43"/>
      <c r="B146" s="43"/>
      <c r="C146" s="43" t="s">
        <v>162</v>
      </c>
      <c r="D146" s="170" t="s">
        <v>247</v>
      </c>
      <c r="E146" s="171"/>
      <c r="F146" s="172"/>
      <c r="G146" s="173"/>
      <c r="H146" s="174"/>
      <c r="I146" s="174"/>
      <c r="J146" s="174">
        <v>5500000</v>
      </c>
      <c r="K146" s="169">
        <f t="shared" si="7"/>
        <v>5500000</v>
      </c>
      <c r="N146" s="167"/>
    </row>
    <row r="147" spans="1:14">
      <c r="A147" s="43"/>
      <c r="B147" s="43"/>
      <c r="C147" s="43" t="s">
        <v>132</v>
      </c>
      <c r="D147" s="170" t="s">
        <v>133</v>
      </c>
      <c r="E147" s="171"/>
      <c r="F147" s="172"/>
      <c r="G147" s="173"/>
      <c r="H147" s="175">
        <v>44000000</v>
      </c>
      <c r="I147" s="175"/>
      <c r="J147" s="175"/>
      <c r="K147" s="169">
        <f t="shared" si="7"/>
        <v>44000000</v>
      </c>
      <c r="N147" s="167"/>
    </row>
    <row r="148" spans="1:14">
      <c r="A148" s="168"/>
      <c r="B148" s="168"/>
      <c r="C148" s="176" t="s">
        <v>134</v>
      </c>
      <c r="D148" s="170" t="s">
        <v>248</v>
      </c>
      <c r="F148" s="177"/>
      <c r="G148" s="178"/>
      <c r="H148" s="179"/>
      <c r="I148" s="180">
        <v>9000000</v>
      </c>
      <c r="J148" s="180"/>
      <c r="K148" s="169">
        <f t="shared" si="7"/>
        <v>9000000</v>
      </c>
      <c r="N148" s="73"/>
    </row>
    <row r="149" spans="1:14" ht="14.25" thickBot="1">
      <c r="A149" s="181"/>
      <c r="B149" s="181"/>
      <c r="C149" s="182" t="s">
        <v>135</v>
      </c>
      <c r="D149" s="99" t="s">
        <v>183</v>
      </c>
      <c r="E149" s="183"/>
      <c r="F149" s="184"/>
      <c r="G149" s="185"/>
      <c r="H149" s="186"/>
      <c r="I149" s="187"/>
      <c r="J149" s="187">
        <v>10702543</v>
      </c>
      <c r="K149" s="188">
        <f t="shared" si="7"/>
        <v>10702543</v>
      </c>
    </row>
  </sheetData>
  <mergeCells count="32">
    <mergeCell ref="E104:F104"/>
    <mergeCell ref="E105:F105"/>
    <mergeCell ref="D107:F107"/>
    <mergeCell ref="D113:F113"/>
    <mergeCell ref="D117:E117"/>
    <mergeCell ref="E103:F10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D101:E101"/>
    <mergeCell ref="E102:F102"/>
    <mergeCell ref="E53:F53"/>
    <mergeCell ref="A1:K1"/>
    <mergeCell ref="A2:K2"/>
    <mergeCell ref="A3:C3"/>
    <mergeCell ref="D3:F4"/>
    <mergeCell ref="G3:G4"/>
    <mergeCell ref="H3:H4"/>
    <mergeCell ref="I3:I4"/>
    <mergeCell ref="J3:J4"/>
    <mergeCell ref="K3:K4"/>
    <mergeCell ref="A5:C5"/>
    <mergeCell ref="D5:F5"/>
    <mergeCell ref="D12:F12"/>
    <mergeCell ref="E51:F51"/>
    <mergeCell ref="E52:F52"/>
  </mergeCells>
  <phoneticPr fontId="3" type="noConversion"/>
  <printOptions horizontalCentered="1"/>
  <pageMargins left="0.25" right="0.25" top="0.75" bottom="0.75" header="0.3" footer="0.3"/>
  <pageSetup paperSize="8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12</vt:i4>
      </vt:variant>
    </vt:vector>
  </HeadingPairs>
  <TitlesOfParts>
    <vt:vector size="20" baseType="lpstr">
      <vt:lpstr>2024년 표지</vt:lpstr>
      <vt:lpstr>세입세출총괄표</vt:lpstr>
      <vt:lpstr>세입세출요약표</vt:lpstr>
      <vt:lpstr>세입추경예산서(음영)</vt:lpstr>
      <vt:lpstr>세입추경예산서</vt:lpstr>
      <vt:lpstr>세출추경예산서</vt:lpstr>
      <vt:lpstr>직원보수일람표</vt:lpstr>
      <vt:lpstr>세입예산서 사통망작성용</vt:lpstr>
      <vt:lpstr>'2024년 표지'!Print_Area</vt:lpstr>
      <vt:lpstr>세입세출요약표!Print_Area</vt:lpstr>
      <vt:lpstr>세입세출총괄표!Print_Area</vt:lpstr>
      <vt:lpstr>'세입예산서 사통망작성용'!Print_Area</vt:lpstr>
      <vt:lpstr>세입추경예산서!Print_Area</vt:lpstr>
      <vt:lpstr>'세입추경예산서(음영)'!Print_Area</vt:lpstr>
      <vt:lpstr>세출추경예산서!Print_Area</vt:lpstr>
      <vt:lpstr>직원보수일람표!Print_Area</vt:lpstr>
      <vt:lpstr>'세입예산서 사통망작성용'!Print_Titles</vt:lpstr>
      <vt:lpstr>세입추경예산서!Print_Titles</vt:lpstr>
      <vt:lpstr>'세입추경예산서(음영)'!Print_Titles</vt:lpstr>
      <vt:lpstr>세출추경예산서!Print_Titles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양평쉼터5</dc:creator>
  <cp:lastModifiedBy>ypshelter5</cp:lastModifiedBy>
  <cp:lastPrinted>2024-12-04T03:21:41Z</cp:lastPrinted>
  <dcterms:created xsi:type="dcterms:W3CDTF">2020-10-22T00:14:55Z</dcterms:created>
  <dcterms:modified xsi:type="dcterms:W3CDTF">2024-12-05T02:55:12Z</dcterms:modified>
</cp:coreProperties>
</file>